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  <sheet name="FY 05-06" sheetId="20" r:id="rId20"/>
    <sheet name="FY 04-05" sheetId="21" r:id="rId21"/>
    <sheet name="FY 03-04" sheetId="22" r:id="rId22"/>
  </sheets>
  <definedNames>
    <definedName name="_xlfn.IFERROR" hidden="1">#NAME?</definedName>
    <definedName name="_xlnm.Print_Area" localSheetId="21">'FY 03-04'!$A$1:$F$66</definedName>
    <definedName name="_xlnm.Print_Area" localSheetId="20">'FY 04-05'!$A$1:$F$66</definedName>
    <definedName name="_xlnm.Print_Area" localSheetId="19">'FY 05-06'!$A$1:$F$67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10-11'!$A$1:$F$66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<sst xmlns="http://schemas.openxmlformats.org/spreadsheetml/2006/main" count="402" uniqueCount="43">
  <si>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</si>
  <si>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</si>
  <si>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</si>
  <si>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</si>
  <si>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</si>
  <si>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</si>
  <si>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</si>
  <si>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</si>
  <si>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</si>
  <si>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</si>
  <si>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</si>
  <si>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</si>
  <si>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Fiscal Year 2005/2006</t>
  </si>
  <si>
    <t>Totals</t>
  </si>
  <si>
    <t>Fiscal Year 2006/2007</t>
  </si>
  <si>
    <t>Fiscal Year 2007/2008</t>
  </si>
  <si>
    <t>Saratoga Gaming &amp; Raceway</t>
  </si>
  <si>
    <t>Crescent Ave</t>
  </si>
  <si>
    <t>Saratoga Springs, NY 12866</t>
  </si>
  <si>
    <t>www.saratogagamingandraceway.com</t>
  </si>
  <si>
    <t>(518) 584-2110</t>
  </si>
  <si>
    <t>Fiscal Year 2003/2004</t>
  </si>
  <si>
    <t>Fiscal Year 2004/2005</t>
  </si>
  <si>
    <t>Fiscal Year 2010/2011</t>
  </si>
  <si>
    <t>Fiscal Year 2011/2012</t>
  </si>
  <si>
    <t>Free Play</t>
  </si>
  <si>
    <t>Saratoga Casino &amp; Raceway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</si>
  <si>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</si>
  <si>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</si>
  <si>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</si>
  <si>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</si>
  <si>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</si>
  <si>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</si>
  <si>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Saratoga Casino - Hotel</t>
  </si>
  <si>
    <t>www.saratogacasino.com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</si>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</sst>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60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53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0" applyNumberFormat="1" applyBorder="1" applyAlignment="1">
      <alignment horizontal="center" vertical="center" wrapText="1"/>
      <protection/>
    </xf>
    <xf numFmtId="38" fontId="0" fillId="0" borderId="0" xfId="0" applyNumberFormat="1" applyBorder="1" applyAlignment="1">
      <alignment/>
    </xf>
    <xf numFmtId="5" fontId="47" fillId="0" borderId="0" xfId="0" applyNumberFormat="1" applyFont="1" applyBorder="1" applyAlignment="1">
      <alignment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11" fillId="0" borderId="0" xfId="53" applyNumberFormat="1" applyFont="1" applyAlignment="1" applyProtection="1">
      <alignment horizontal="center"/>
      <protection/>
    </xf>
    <xf numFmtId="6" fontId="8" fillId="0" borderId="0" xfId="0" applyNumberFormat="1" applyFont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6" fontId="7" fillId="0" borderId="0" xfId="53" applyNumberFormat="1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1A544.1BABFB3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1A544.1BABFB30" TargetMode="External" /><Relationship Id="rId2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1A544.1BABFB30" TargetMode="External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381000</xdr:colOff>
      <xdr:row>5</xdr:row>
      <xdr:rowOff>142875</xdr:rowOff>
    </xdr:to>
    <xdr:pic>
      <xdr:nvPicPr>
        <xdr:cNvPr id="1" name="Picture 1" descr="facility_sg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381000</xdr:colOff>
      <xdr:row>5</xdr:row>
      <xdr:rowOff>142875</xdr:rowOff>
    </xdr:to>
    <xdr:pic>
      <xdr:nvPicPr>
        <xdr:cNvPr id="1" name="Picture 1" descr="facility_sg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381000</xdr:colOff>
      <xdr:row>5</xdr:row>
      <xdr:rowOff>142875</xdr:rowOff>
    </xdr:to>
    <xdr:pic>
      <xdr:nvPicPr>
        <xdr:cNvPr id="1" name="Picture 1" descr="facility_sg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381000</xdr:colOff>
      <xdr:row>5</xdr:row>
      <xdr:rowOff>142875</xdr:rowOff>
    </xdr:to>
    <xdr:pic>
      <xdr:nvPicPr>
        <xdr:cNvPr id="1" name="Picture 1" descr="facility_sg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381000</xdr:colOff>
      <xdr:row>5</xdr:row>
      <xdr:rowOff>142875</xdr:rowOff>
    </xdr:to>
    <xdr:pic>
      <xdr:nvPicPr>
        <xdr:cNvPr id="1" name="Picture 1" descr="facility_sg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247650</xdr:colOff>
      <xdr:row>5</xdr:row>
      <xdr:rowOff>66675</xdr:rowOff>
    </xdr:to>
    <xdr:pic>
      <xdr:nvPicPr>
        <xdr:cNvPr id="1" name="Picture 2" descr="facility_sg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</xdr:col>
      <xdr:colOff>361950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66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371475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209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371475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371475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590550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371475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371475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371475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276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552450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495300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504825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209550</xdr:rowOff>
    </xdr:from>
    <xdr:to>
      <xdr:col>1</xdr:col>
      <xdr:colOff>666750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1504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161925</xdr:rowOff>
    </xdr:from>
    <xdr:to>
      <xdr:col>1</xdr:col>
      <xdr:colOff>657225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57150</xdr:rowOff>
    </xdr:from>
    <xdr:to>
      <xdr:col>1</xdr:col>
      <xdr:colOff>219075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28575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</xdr:col>
      <xdr:colOff>314325</xdr:colOff>
      <xdr:row>5</xdr:row>
      <xdr:rowOff>114300</xdr:rowOff>
    </xdr:to>
    <xdr:pic>
      <xdr:nvPicPr>
        <xdr:cNvPr id="2" name="Picture 1" descr="facility_sgr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240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342900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171450"/>
          <a:ext cx="1133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171450</xdr:rowOff>
    </xdr:from>
    <xdr:to>
      <xdr:col>1</xdr:col>
      <xdr:colOff>371475</xdr:colOff>
      <xdr:row>6</xdr:row>
      <xdr:rowOff>47625</xdr:rowOff>
    </xdr:to>
    <xdr:pic>
      <xdr:nvPicPr>
        <xdr:cNvPr id="2" name="Picture 2" descr="facility_sgr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714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gamingandraceway.com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atogacasino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42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45381</v>
      </c>
      <c r="B12" s="15">
        <v>41828033.059999995</v>
      </c>
      <c r="C12" s="15">
        <v>284822.0200000001</v>
      </c>
      <c r="D12" s="15">
        <f aca="true" t="shared" si="0" ref="D12:D64">IF(ISBLANK(B12),"",B12-C12-E12)</f>
        <v>38387664.32999999</v>
      </c>
      <c r="E12" s="15">
        <v>3155546.71</v>
      </c>
      <c r="F12" s="16">
        <v>1226</v>
      </c>
      <c r="G12" s="15">
        <f aca="true" t="shared" si="1" ref="G12:G35">IF(ISBLANK(B12),"",E12/F12/7)</f>
        <v>367.6936273595898</v>
      </c>
    </row>
    <row r="13" spans="1:7" ht="12.75">
      <c r="A13" s="22">
        <f aca="true" t="shared" si="2" ref="A13:A63">+A12+7</f>
        <v>45388</v>
      </c>
      <c r="B13" s="15">
        <v>39870553.3</v>
      </c>
      <c r="C13" s="15">
        <v>283795.16</v>
      </c>
      <c r="D13" s="15">
        <f t="shared" si="0"/>
        <v>36790425.83</v>
      </c>
      <c r="E13" s="15">
        <v>2796332.3100000005</v>
      </c>
      <c r="F13" s="16">
        <v>1226</v>
      </c>
      <c r="G13" s="15">
        <f t="shared" si="1"/>
        <v>325.8369039850851</v>
      </c>
    </row>
    <row r="14" spans="1:7" ht="12.75">
      <c r="A14" s="22">
        <f t="shared" si="2"/>
        <v>45395</v>
      </c>
      <c r="B14" s="15">
        <v>40586250.21</v>
      </c>
      <c r="C14" s="15">
        <v>283543.53</v>
      </c>
      <c r="D14" s="15">
        <f t="shared" si="0"/>
        <v>37315680.65</v>
      </c>
      <c r="E14" s="15">
        <v>2987026.0300000003</v>
      </c>
      <c r="F14" s="16">
        <v>1226</v>
      </c>
      <c r="G14" s="15">
        <f t="shared" si="1"/>
        <v>348.05709974364953</v>
      </c>
    </row>
    <row r="15" spans="1:7" ht="12.75">
      <c r="A15" s="22">
        <f t="shared" si="2"/>
        <v>45402</v>
      </c>
      <c r="B15" s="15">
        <v>40336160.8</v>
      </c>
      <c r="C15" s="15">
        <v>231336.24</v>
      </c>
      <c r="D15" s="15">
        <f t="shared" si="0"/>
        <v>37063190.949999996</v>
      </c>
      <c r="E15" s="15">
        <v>3041633.61</v>
      </c>
      <c r="F15" s="16">
        <v>1226</v>
      </c>
      <c r="G15" s="15">
        <f t="shared" si="1"/>
        <v>354.4201363318574</v>
      </c>
    </row>
    <row r="16" spans="1:7" ht="12.75">
      <c r="A16" s="22">
        <f t="shared" si="2"/>
        <v>45409</v>
      </c>
      <c r="B16" s="15">
        <v>39271576.99</v>
      </c>
      <c r="C16" s="15">
        <v>282449.70999999996</v>
      </c>
      <c r="D16" s="15">
        <f t="shared" si="0"/>
        <v>36116519.66</v>
      </c>
      <c r="E16" s="15">
        <v>2872607.620000001</v>
      </c>
      <c r="F16" s="16">
        <v>1226</v>
      </c>
      <c r="G16" s="15">
        <f t="shared" si="1"/>
        <v>334.72472850151496</v>
      </c>
    </row>
    <row r="17" spans="1:7" ht="12.75">
      <c r="A17" s="22">
        <f t="shared" si="2"/>
        <v>45416</v>
      </c>
      <c r="D17" s="15">
        <f t="shared" si="0"/>
      </c>
      <c r="G17" s="15">
        <f t="shared" si="1"/>
      </c>
    </row>
    <row r="18" spans="1:7" ht="12.75">
      <c r="A18" s="22">
        <f t="shared" si="2"/>
        <v>45423</v>
      </c>
      <c r="D18" s="15">
        <f t="shared" si="0"/>
      </c>
      <c r="G18" s="15">
        <f t="shared" si="1"/>
      </c>
    </row>
    <row r="19" spans="1:7" ht="12.75">
      <c r="A19" s="22">
        <f t="shared" si="2"/>
        <v>45430</v>
      </c>
      <c r="D19" s="15">
        <f t="shared" si="0"/>
      </c>
      <c r="G19" s="15">
        <f t="shared" si="1"/>
      </c>
    </row>
    <row r="20" spans="1:7" ht="12.75">
      <c r="A20" s="22">
        <f t="shared" si="2"/>
        <v>45437</v>
      </c>
      <c r="D20" s="15">
        <f t="shared" si="0"/>
      </c>
      <c r="G20" s="15">
        <f t="shared" si="1"/>
      </c>
    </row>
    <row r="21" spans="1:7" ht="12.75">
      <c r="A21" s="22">
        <f t="shared" si="2"/>
        <v>45444</v>
      </c>
      <c r="D21" s="15">
        <f t="shared" si="0"/>
      </c>
      <c r="G21" s="15">
        <f t="shared" si="1"/>
      </c>
    </row>
    <row r="22" spans="1:7" ht="12.75">
      <c r="A22" s="22">
        <f t="shared" si="2"/>
        <v>45451</v>
      </c>
      <c r="D22" s="15">
        <f t="shared" si="0"/>
      </c>
      <c r="G22" s="15">
        <f t="shared" si="1"/>
      </c>
    </row>
    <row r="23" spans="1:7" ht="12.75">
      <c r="A23" s="22">
        <f t="shared" si="2"/>
        <v>45458</v>
      </c>
      <c r="D23" s="15">
        <f t="shared" si="0"/>
      </c>
      <c r="G23" s="15">
        <f t="shared" si="1"/>
      </c>
    </row>
    <row r="24" spans="1:7" ht="12.75">
      <c r="A24" s="22">
        <f t="shared" si="2"/>
        <v>45465</v>
      </c>
      <c r="D24" s="15">
        <f t="shared" si="0"/>
      </c>
      <c r="G24" s="15">
        <f t="shared" si="1"/>
      </c>
    </row>
    <row r="25" spans="1:7" ht="12.75">
      <c r="A25" s="22">
        <f t="shared" si="2"/>
        <v>45472</v>
      </c>
      <c r="D25" s="15">
        <f t="shared" si="0"/>
      </c>
      <c r="G25" s="15">
        <f t="shared" si="1"/>
      </c>
    </row>
    <row r="26" spans="1:7" ht="12.75">
      <c r="A26" s="22">
        <f t="shared" si="2"/>
        <v>45479</v>
      </c>
      <c r="D26" s="15">
        <f t="shared" si="0"/>
      </c>
      <c r="G26" s="15">
        <f t="shared" si="1"/>
      </c>
    </row>
    <row r="27" spans="1:7" ht="12.75">
      <c r="A27" s="22">
        <f t="shared" si="2"/>
        <v>45486</v>
      </c>
      <c r="D27" s="15">
        <f t="shared" si="0"/>
      </c>
      <c r="G27" s="15">
        <f t="shared" si="1"/>
      </c>
    </row>
    <row r="28" spans="1:7" ht="12.75">
      <c r="A28" s="22">
        <f t="shared" si="2"/>
        <v>45493</v>
      </c>
      <c r="D28" s="15">
        <f t="shared" si="0"/>
      </c>
      <c r="G28" s="15">
        <f t="shared" si="1"/>
      </c>
    </row>
    <row r="29" spans="1:7" ht="12.75">
      <c r="A29" s="22">
        <f t="shared" si="2"/>
        <v>45500</v>
      </c>
      <c r="D29" s="15">
        <f t="shared" si="0"/>
      </c>
      <c r="G29" s="15">
        <f t="shared" si="1"/>
      </c>
    </row>
    <row r="30" spans="1:7" ht="12.75">
      <c r="A30" s="22">
        <f t="shared" si="2"/>
        <v>45507</v>
      </c>
      <c r="D30" s="15">
        <f t="shared" si="0"/>
      </c>
      <c r="G30" s="15">
        <f t="shared" si="1"/>
      </c>
    </row>
    <row r="31" spans="1:7" ht="12.75">
      <c r="A31" s="22">
        <f t="shared" si="2"/>
        <v>45514</v>
      </c>
      <c r="D31" s="15">
        <f t="shared" si="0"/>
      </c>
      <c r="G31" s="15">
        <f t="shared" si="1"/>
      </c>
    </row>
    <row r="32" spans="1:7" ht="12.75">
      <c r="A32" s="22">
        <f t="shared" si="2"/>
        <v>45521</v>
      </c>
      <c r="D32" s="15">
        <f t="shared" si="0"/>
      </c>
      <c r="G32" s="15">
        <f t="shared" si="1"/>
      </c>
    </row>
    <row r="33" spans="1:7" ht="12.75">
      <c r="A33" s="22">
        <f t="shared" si="2"/>
        <v>45528</v>
      </c>
      <c r="D33" s="15">
        <f t="shared" si="0"/>
      </c>
      <c r="G33" s="15">
        <f t="shared" si="1"/>
      </c>
    </row>
    <row r="34" spans="1:7" ht="12.75">
      <c r="A34" s="22">
        <f t="shared" si="2"/>
        <v>45535</v>
      </c>
      <c r="D34" s="15">
        <f t="shared" si="0"/>
      </c>
      <c r="G34" s="15">
        <f t="shared" si="1"/>
      </c>
    </row>
    <row r="35" spans="1:7" ht="12.75">
      <c r="A35" s="22">
        <f t="shared" si="2"/>
        <v>45542</v>
      </c>
      <c r="D35" s="15">
        <f t="shared" si="0"/>
      </c>
      <c r="G35" s="15">
        <f t="shared" si="1"/>
      </c>
    </row>
    <row r="36" spans="1:7" ht="12.75">
      <c r="A36" s="22">
        <f t="shared" si="2"/>
        <v>45549</v>
      </c>
      <c r="D36" s="15">
        <f t="shared" si="0"/>
      </c>
      <c r="G36" s="15">
        <f>IF(ISBLANK(B36),"",E36/F36/7)</f>
      </c>
    </row>
    <row r="37" spans="1:7" ht="12.75">
      <c r="A37" s="22">
        <f t="shared" si="2"/>
        <v>45556</v>
      </c>
      <c r="B37" s="18"/>
      <c r="C37" s="18"/>
      <c r="D37" s="15">
        <f t="shared" si="0"/>
      </c>
      <c r="E37" s="18"/>
      <c r="F37" s="35"/>
      <c r="G37" s="18">
        <f aca="true" t="shared" si="3" ref="G37:G63">IF(ISBLANK(B37),"",E37/F37/7)</f>
      </c>
    </row>
    <row r="38" spans="1:7" ht="12.75">
      <c r="A38" s="22">
        <f t="shared" si="2"/>
        <v>45563</v>
      </c>
      <c r="B38" s="18"/>
      <c r="C38" s="18"/>
      <c r="D38" s="15">
        <f t="shared" si="0"/>
      </c>
      <c r="E38" s="18"/>
      <c r="F38" s="35"/>
      <c r="G38" s="18">
        <f t="shared" si="3"/>
      </c>
    </row>
    <row r="39" spans="1:7" ht="12.75">
      <c r="A39" s="22">
        <f t="shared" si="2"/>
        <v>45570</v>
      </c>
      <c r="B39" s="36"/>
      <c r="C39" s="36"/>
      <c r="D39" s="15">
        <f t="shared" si="0"/>
      </c>
      <c r="E39" s="36"/>
      <c r="F39" s="35"/>
      <c r="G39" s="18">
        <f t="shared" si="3"/>
      </c>
    </row>
    <row r="40" spans="1:7" ht="12.75">
      <c r="A40" s="22">
        <f t="shared" si="2"/>
        <v>45577</v>
      </c>
      <c r="B40" s="18"/>
      <c r="C40" s="18"/>
      <c r="D40" s="15">
        <f t="shared" si="0"/>
      </c>
      <c r="E40" s="18"/>
      <c r="F40" s="35"/>
      <c r="G40" s="18">
        <f t="shared" si="3"/>
      </c>
    </row>
    <row r="41" spans="1:7" ht="12.75">
      <c r="A41" s="22">
        <f t="shared" si="2"/>
        <v>45584</v>
      </c>
      <c r="B41" s="18"/>
      <c r="C41" s="18"/>
      <c r="D41" s="15">
        <f t="shared" si="0"/>
      </c>
      <c r="E41" s="18"/>
      <c r="F41" s="35"/>
      <c r="G41" s="18">
        <f t="shared" si="3"/>
      </c>
    </row>
    <row r="42" spans="1:7" ht="12.75">
      <c r="A42" s="22">
        <f t="shared" si="2"/>
        <v>45591</v>
      </c>
      <c r="D42" s="15">
        <f t="shared" si="0"/>
      </c>
      <c r="G42" s="15">
        <f t="shared" si="3"/>
      </c>
    </row>
    <row r="43" spans="1:7" ht="12.75">
      <c r="A43" s="22">
        <f t="shared" si="2"/>
        <v>45598</v>
      </c>
      <c r="D43" s="15">
        <f t="shared" si="0"/>
      </c>
      <c r="G43" s="15">
        <f t="shared" si="3"/>
      </c>
    </row>
    <row r="44" spans="1:7" ht="12.75">
      <c r="A44" s="22">
        <f t="shared" si="2"/>
        <v>45605</v>
      </c>
      <c r="D44" s="15">
        <f t="shared" si="0"/>
      </c>
      <c r="G44" s="15">
        <f t="shared" si="3"/>
      </c>
    </row>
    <row r="45" spans="1:7" ht="12.75">
      <c r="A45" s="22">
        <f t="shared" si="2"/>
        <v>45612</v>
      </c>
      <c r="D45" s="15">
        <f t="shared" si="0"/>
      </c>
      <c r="G45" s="15">
        <f t="shared" si="3"/>
      </c>
    </row>
    <row r="46" spans="1:7" ht="12.75">
      <c r="A46" s="22">
        <f t="shared" si="2"/>
        <v>45619</v>
      </c>
      <c r="D46" s="15">
        <f t="shared" si="0"/>
      </c>
      <c r="G46" s="15">
        <f t="shared" si="3"/>
      </c>
    </row>
    <row r="47" spans="1:7" ht="12.75">
      <c r="A47" s="22">
        <f t="shared" si="2"/>
        <v>45626</v>
      </c>
      <c r="D47" s="15">
        <f t="shared" si="0"/>
      </c>
      <c r="G47" s="15">
        <f t="shared" si="3"/>
      </c>
    </row>
    <row r="48" spans="1:7" ht="12.75">
      <c r="A48" s="22">
        <f t="shared" si="2"/>
        <v>45633</v>
      </c>
      <c r="D48" s="15">
        <f t="shared" si="0"/>
      </c>
      <c r="G48" s="15">
        <f t="shared" si="3"/>
      </c>
    </row>
    <row r="49" spans="1:7" ht="12.75">
      <c r="A49" s="22">
        <f t="shared" si="2"/>
        <v>45640</v>
      </c>
      <c r="D49" s="15">
        <f t="shared" si="0"/>
      </c>
      <c r="G49" s="15">
        <f t="shared" si="3"/>
      </c>
    </row>
    <row r="50" spans="1:7" ht="12.75">
      <c r="A50" s="22">
        <f t="shared" si="2"/>
        <v>45647</v>
      </c>
      <c r="D50" s="15">
        <f t="shared" si="0"/>
      </c>
      <c r="G50" s="15">
        <f t="shared" si="3"/>
      </c>
    </row>
    <row r="51" spans="1:7" ht="12.75">
      <c r="A51" s="22">
        <f t="shared" si="2"/>
        <v>45654</v>
      </c>
      <c r="D51" s="15">
        <f t="shared" si="0"/>
      </c>
      <c r="G51" s="15">
        <f t="shared" si="3"/>
      </c>
    </row>
    <row r="52" spans="1:7" ht="12.75">
      <c r="A52" s="22">
        <f t="shared" si="2"/>
        <v>45661</v>
      </c>
      <c r="D52" s="15">
        <f t="shared" si="0"/>
      </c>
      <c r="G52" s="15">
        <f t="shared" si="3"/>
      </c>
    </row>
    <row r="53" spans="1:7" ht="12.75">
      <c r="A53" s="22">
        <f t="shared" si="2"/>
        <v>45668</v>
      </c>
      <c r="D53" s="15">
        <f t="shared" si="0"/>
      </c>
      <c r="G53" s="15">
        <f t="shared" si="3"/>
      </c>
    </row>
    <row r="54" spans="1:7" ht="12.75">
      <c r="A54" s="22">
        <f t="shared" si="2"/>
        <v>45675</v>
      </c>
      <c r="D54" s="15">
        <f t="shared" si="0"/>
      </c>
      <c r="G54" s="15">
        <f t="shared" si="3"/>
      </c>
    </row>
    <row r="55" spans="1:7" ht="12.75">
      <c r="A55" s="22">
        <f t="shared" si="2"/>
        <v>45682</v>
      </c>
      <c r="D55" s="15">
        <f t="shared" si="0"/>
      </c>
      <c r="G55" s="15">
        <f t="shared" si="3"/>
      </c>
    </row>
    <row r="56" spans="1:7" ht="12.75">
      <c r="A56" s="22">
        <f t="shared" si="2"/>
        <v>45689</v>
      </c>
      <c r="D56" s="15">
        <f t="shared" si="0"/>
      </c>
      <c r="G56" s="15">
        <f t="shared" si="3"/>
      </c>
    </row>
    <row r="57" spans="1:7" ht="12.75">
      <c r="A57" s="22">
        <f t="shared" si="2"/>
        <v>45696</v>
      </c>
      <c r="D57" s="15">
        <f t="shared" si="0"/>
      </c>
      <c r="G57" s="15">
        <f t="shared" si="3"/>
      </c>
    </row>
    <row r="58" spans="1:7" ht="12.75">
      <c r="A58" s="22">
        <f t="shared" si="2"/>
        <v>45703</v>
      </c>
      <c r="D58" s="15">
        <f t="shared" si="0"/>
      </c>
      <c r="G58" s="15">
        <f t="shared" si="3"/>
      </c>
    </row>
    <row r="59" spans="1:7" ht="12.75">
      <c r="A59" s="22">
        <f t="shared" si="2"/>
        <v>45710</v>
      </c>
      <c r="D59" s="15">
        <f t="shared" si="0"/>
      </c>
      <c r="G59" s="15">
        <f t="shared" si="3"/>
      </c>
    </row>
    <row r="60" spans="1:7" ht="12.75">
      <c r="A60" s="22">
        <f t="shared" si="2"/>
        <v>45717</v>
      </c>
      <c r="D60" s="15">
        <f t="shared" si="0"/>
      </c>
      <c r="G60" s="15">
        <f t="shared" si="3"/>
      </c>
    </row>
    <row r="61" spans="1:7" ht="12.75">
      <c r="A61" s="22">
        <f t="shared" si="2"/>
        <v>45724</v>
      </c>
      <c r="D61" s="15">
        <f t="shared" si="0"/>
      </c>
      <c r="G61" s="15">
        <f t="shared" si="3"/>
      </c>
    </row>
    <row r="62" spans="1:7" ht="12.75">
      <c r="A62" s="22">
        <f t="shared" si="2"/>
        <v>45731</v>
      </c>
      <c r="D62" s="15">
        <f t="shared" si="0"/>
      </c>
      <c r="G62" s="15">
        <f t="shared" si="3"/>
      </c>
    </row>
    <row r="63" spans="1:7" ht="12.75">
      <c r="A63" s="22">
        <f t="shared" si="2"/>
        <v>45738</v>
      </c>
      <c r="D63" s="15">
        <f t="shared" si="0"/>
      </c>
      <c r="G63" s="15">
        <f t="shared" si="3"/>
      </c>
    </row>
    <row r="64" spans="1:4" ht="12.75">
      <c r="A64" s="22"/>
      <c r="D64" s="15">
        <f t="shared" si="0"/>
      </c>
    </row>
    <row r="65" ht="12.75">
      <c r="A65" s="22"/>
    </row>
    <row r="66" spans="1:7" ht="13.5" thickBot="1">
      <c r="A66" s="3" t="s">
        <v>8</v>
      </c>
      <c r="B66" s="17">
        <f>IF(SUM(B12:B65)=0,"",SUM(B12:B65))</f>
        <v>201892574.36</v>
      </c>
      <c r="C66" s="17">
        <f>IF(SUM(C12:C65)=0,"",SUM(C12:C65))</f>
        <v>1365946.6600000001</v>
      </c>
      <c r="D66" s="17">
        <f>IF(SUM(D12:D65)=0,"",SUM(D12:D65))</f>
        <v>185673481.42</v>
      </c>
      <c r="E66" s="17">
        <f>IF(SUM(E12:E65)=0,"",SUM(E12:E65))</f>
        <v>14853146.280000001</v>
      </c>
      <c r="F66" s="24">
        <f>_xlfn.IFERROR(SUM(F12:F63)/COUNT(F12:F63)," ")</f>
        <v>1226</v>
      </c>
      <c r="G66" s="17">
        <f>_xlfn.IFERROR(E66/SUM(F12:F65)/7," ")</f>
        <v>346.14649918433935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7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26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44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31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45294275</v>
      </c>
      <c r="C13" s="15">
        <v>401027.68</v>
      </c>
      <c r="D13" s="15">
        <f aca="true" t="shared" si="0" ref="D13:D65">+B13-C13-E13</f>
        <v>41675757.32</v>
      </c>
      <c r="E13" s="15">
        <v>3217490</v>
      </c>
      <c r="F13" s="16">
        <v>1782</v>
      </c>
      <c r="G13" s="15">
        <v>258</v>
      </c>
    </row>
    <row r="14" spans="1:7" ht="12.75">
      <c r="A14" s="22">
        <f aca="true" t="shared" si="1" ref="A14:A65">+A13+7</f>
        <v>42098</v>
      </c>
      <c r="B14" s="15">
        <v>45597854</v>
      </c>
      <c r="C14" s="15">
        <f>380954.08-49780</f>
        <v>331174.08</v>
      </c>
      <c r="D14" s="15">
        <f t="shared" si="0"/>
        <v>41942191.92</v>
      </c>
      <c r="E14" s="15">
        <v>3324488</v>
      </c>
      <c r="F14" s="16">
        <v>1782</v>
      </c>
      <c r="G14" s="15">
        <v>267</v>
      </c>
    </row>
    <row r="15" spans="1:7" ht="12.75">
      <c r="A15" s="22">
        <f t="shared" si="1"/>
        <v>42105</v>
      </c>
      <c r="B15" s="15">
        <v>46723666</v>
      </c>
      <c r="C15" s="15">
        <v>425858.06</v>
      </c>
      <c r="D15" s="15">
        <f t="shared" si="0"/>
        <v>43114193.94</v>
      </c>
      <c r="E15" s="15">
        <v>3183614</v>
      </c>
      <c r="F15" s="16">
        <v>1782</v>
      </c>
      <c r="G15" s="15">
        <v>255</v>
      </c>
    </row>
    <row r="16" spans="1:7" ht="12.75">
      <c r="A16" s="22">
        <f t="shared" si="1"/>
        <v>42112</v>
      </c>
      <c r="B16" s="15">
        <v>44876062</v>
      </c>
      <c r="C16" s="15">
        <v>451469.11</v>
      </c>
      <c r="D16" s="15">
        <f t="shared" si="0"/>
        <v>41351403.89</v>
      </c>
      <c r="E16" s="15">
        <v>3073189</v>
      </c>
      <c r="F16" s="16">
        <v>1782</v>
      </c>
      <c r="G16" s="15">
        <v>246</v>
      </c>
    </row>
    <row r="17" spans="1:7" ht="12.75">
      <c r="A17" s="22">
        <f t="shared" si="1"/>
        <v>42119</v>
      </c>
      <c r="B17" s="15">
        <v>46300143</v>
      </c>
      <c r="C17" s="15">
        <v>430852.4</v>
      </c>
      <c r="D17" s="15">
        <f t="shared" si="0"/>
        <v>42576877.6</v>
      </c>
      <c r="E17" s="15">
        <v>3292413</v>
      </c>
      <c r="F17" s="16">
        <v>1782</v>
      </c>
      <c r="G17" s="15">
        <v>264</v>
      </c>
    </row>
    <row r="18" spans="1:7" ht="12.75">
      <c r="A18" s="22">
        <f t="shared" si="1"/>
        <v>42126</v>
      </c>
      <c r="B18" s="15">
        <v>45454232</v>
      </c>
      <c r="C18" s="15">
        <v>400730.08</v>
      </c>
      <c r="D18" s="15">
        <f t="shared" si="0"/>
        <v>41787503.92</v>
      </c>
      <c r="E18" s="15">
        <v>3265998</v>
      </c>
      <c r="F18" s="16">
        <v>1782</v>
      </c>
      <c r="G18" s="15">
        <v>262</v>
      </c>
    </row>
    <row r="19" spans="1:7" ht="12.75">
      <c r="A19" s="22">
        <f t="shared" si="1"/>
        <v>42133</v>
      </c>
      <c r="B19" s="15">
        <v>42272198</v>
      </c>
      <c r="C19" s="15">
        <f>471251.1-59015</f>
        <v>412236.1</v>
      </c>
      <c r="D19" s="15">
        <f t="shared" si="0"/>
        <v>38908123.9</v>
      </c>
      <c r="E19" s="15">
        <v>2951838</v>
      </c>
      <c r="F19" s="16">
        <v>1782</v>
      </c>
      <c r="G19" s="15">
        <v>237</v>
      </c>
    </row>
    <row r="20" spans="1:7" ht="12.75">
      <c r="A20" s="22">
        <f t="shared" si="1"/>
        <v>42140</v>
      </c>
      <c r="B20" s="15">
        <v>45698644</v>
      </c>
      <c r="C20" s="15">
        <v>461762.88</v>
      </c>
      <c r="D20" s="15">
        <f t="shared" si="0"/>
        <v>42102460.12</v>
      </c>
      <c r="E20" s="15">
        <v>3134421</v>
      </c>
      <c r="F20" s="16">
        <v>1782</v>
      </c>
      <c r="G20" s="15">
        <v>251</v>
      </c>
    </row>
    <row r="21" spans="1:7" ht="12.75">
      <c r="A21" s="22">
        <f t="shared" si="1"/>
        <v>42147</v>
      </c>
      <c r="B21" s="15">
        <v>44633401</v>
      </c>
      <c r="C21" s="15">
        <v>417055.26</v>
      </c>
      <c r="D21" s="15">
        <f t="shared" si="0"/>
        <v>41003318.74</v>
      </c>
      <c r="E21" s="15">
        <v>3213027</v>
      </c>
      <c r="F21" s="16">
        <v>1782</v>
      </c>
      <c r="G21" s="15">
        <v>258</v>
      </c>
    </row>
    <row r="22" spans="1:7" ht="12.75">
      <c r="A22" s="22">
        <f t="shared" si="1"/>
        <v>42154</v>
      </c>
      <c r="B22" s="15">
        <v>47608226</v>
      </c>
      <c r="C22" s="15">
        <v>460052.5</v>
      </c>
      <c r="D22" s="15">
        <f t="shared" si="0"/>
        <v>43726580.5</v>
      </c>
      <c r="E22" s="15">
        <v>3421593</v>
      </c>
      <c r="F22" s="16">
        <v>1782</v>
      </c>
      <c r="G22" s="15">
        <v>274</v>
      </c>
    </row>
    <row r="23" spans="1:7" ht="12.75">
      <c r="A23" s="22">
        <f t="shared" si="1"/>
        <v>42161</v>
      </c>
      <c r="B23" s="15">
        <v>48293674</v>
      </c>
      <c r="C23" s="15">
        <v>491803.65</v>
      </c>
      <c r="D23" s="15">
        <f t="shared" si="0"/>
        <v>44390106.35</v>
      </c>
      <c r="E23" s="15">
        <v>3411764</v>
      </c>
      <c r="F23" s="16">
        <v>1782</v>
      </c>
      <c r="G23" s="15">
        <v>274</v>
      </c>
    </row>
    <row r="24" spans="1:7" ht="12.75">
      <c r="A24" s="22">
        <f t="shared" si="1"/>
        <v>42168</v>
      </c>
      <c r="B24" s="15">
        <v>45195154</v>
      </c>
      <c r="C24" s="15">
        <f>447081.38-52160</f>
        <v>394921.38</v>
      </c>
      <c r="D24" s="15">
        <f t="shared" si="0"/>
        <v>41728147.62</v>
      </c>
      <c r="E24" s="15">
        <v>3072085</v>
      </c>
      <c r="F24" s="16">
        <v>1782</v>
      </c>
      <c r="G24" s="15">
        <v>246</v>
      </c>
    </row>
    <row r="25" spans="1:7" ht="12.75">
      <c r="A25" s="22">
        <f t="shared" si="1"/>
        <v>42175</v>
      </c>
      <c r="B25" s="15">
        <v>44732027</v>
      </c>
      <c r="C25" s="15">
        <v>501815.49</v>
      </c>
      <c r="D25" s="15">
        <f t="shared" si="0"/>
        <v>40967106.51</v>
      </c>
      <c r="E25" s="15">
        <v>3263105</v>
      </c>
      <c r="F25" s="16">
        <v>1782</v>
      </c>
      <c r="G25" s="15">
        <v>262</v>
      </c>
    </row>
    <row r="26" spans="1:7" ht="12.75">
      <c r="A26" s="22">
        <f t="shared" si="1"/>
        <v>42182</v>
      </c>
      <c r="B26" s="15">
        <v>45975050</v>
      </c>
      <c r="C26" s="15">
        <v>447032.16</v>
      </c>
      <c r="D26" s="15">
        <f t="shared" si="0"/>
        <v>42203495.84</v>
      </c>
      <c r="E26" s="15">
        <v>3324522</v>
      </c>
      <c r="F26" s="16">
        <v>1775.142857142857</v>
      </c>
      <c r="G26" s="15">
        <v>268</v>
      </c>
    </row>
    <row r="27" spans="1:7" ht="12.75">
      <c r="A27" s="22">
        <f t="shared" si="1"/>
        <v>42189</v>
      </c>
      <c r="B27" s="15">
        <v>50467401</v>
      </c>
      <c r="C27" s="15">
        <f>456489.22-75340</f>
        <v>381149.22</v>
      </c>
      <c r="D27" s="15">
        <f t="shared" si="0"/>
        <v>46337441.78</v>
      </c>
      <c r="E27" s="15">
        <v>3748810</v>
      </c>
      <c r="F27" s="16">
        <v>1782</v>
      </c>
      <c r="G27" s="15">
        <v>301</v>
      </c>
    </row>
    <row r="28" spans="1:7" ht="12.75">
      <c r="A28" s="22">
        <f t="shared" si="1"/>
        <v>42196</v>
      </c>
      <c r="B28" s="15">
        <v>45215131</v>
      </c>
      <c r="C28" s="15">
        <v>451551.75</v>
      </c>
      <c r="D28" s="15">
        <f t="shared" si="0"/>
        <v>41563392.25</v>
      </c>
      <c r="E28" s="15">
        <v>3200187</v>
      </c>
      <c r="F28" s="16">
        <v>1782</v>
      </c>
      <c r="G28" s="15">
        <v>257</v>
      </c>
    </row>
    <row r="29" spans="1:7" ht="12.75">
      <c r="A29" s="22">
        <f t="shared" si="1"/>
        <v>42203</v>
      </c>
      <c r="B29" s="15">
        <v>46263933</v>
      </c>
      <c r="C29" s="15">
        <v>476688.96</v>
      </c>
      <c r="D29" s="15">
        <f t="shared" si="0"/>
        <v>42407858.04</v>
      </c>
      <c r="E29" s="15">
        <v>3379386</v>
      </c>
      <c r="F29" s="16">
        <v>1782</v>
      </c>
      <c r="G29" s="15">
        <v>271</v>
      </c>
    </row>
    <row r="30" spans="1:7" ht="12.75">
      <c r="A30" s="22">
        <f t="shared" si="1"/>
        <v>42210</v>
      </c>
      <c r="B30" s="15">
        <v>42675175</v>
      </c>
      <c r="C30" s="15">
        <v>420504.18</v>
      </c>
      <c r="D30" s="15">
        <f t="shared" si="0"/>
        <v>39204037.82</v>
      </c>
      <c r="E30" s="15">
        <v>3050633</v>
      </c>
      <c r="F30" s="16">
        <v>1782</v>
      </c>
      <c r="G30" s="15">
        <v>245</v>
      </c>
    </row>
    <row r="31" spans="1:7" ht="12.75">
      <c r="A31" s="22">
        <f t="shared" si="1"/>
        <v>42217</v>
      </c>
      <c r="B31" s="15">
        <v>48740786</v>
      </c>
      <c r="C31" s="15">
        <v>437649.68</v>
      </c>
      <c r="D31" s="15">
        <f t="shared" si="0"/>
        <v>44860827.32</v>
      </c>
      <c r="E31" s="15">
        <v>3442309</v>
      </c>
      <c r="F31" s="16">
        <v>1782</v>
      </c>
      <c r="G31" s="15">
        <v>276</v>
      </c>
    </row>
    <row r="32" spans="1:7" ht="12.75">
      <c r="A32" s="22">
        <f t="shared" si="1"/>
        <v>42224</v>
      </c>
      <c r="B32" s="15">
        <v>49128210</v>
      </c>
      <c r="C32" s="15">
        <f>438997.13-70843</f>
        <v>368154.13</v>
      </c>
      <c r="D32" s="15">
        <f t="shared" si="0"/>
        <v>45147981.87</v>
      </c>
      <c r="E32" s="15">
        <v>3612074</v>
      </c>
      <c r="F32" s="16">
        <v>1782</v>
      </c>
      <c r="G32" s="15">
        <v>290</v>
      </c>
    </row>
    <row r="33" spans="1:7" ht="12.75">
      <c r="A33" s="22">
        <f t="shared" si="1"/>
        <v>42231</v>
      </c>
      <c r="B33" s="15">
        <v>47223268</v>
      </c>
      <c r="C33" s="15">
        <v>401938.1</v>
      </c>
      <c r="D33" s="15">
        <f t="shared" si="0"/>
        <v>43507818.9</v>
      </c>
      <c r="E33" s="15">
        <v>3313511</v>
      </c>
      <c r="F33" s="16">
        <v>1735.142857142857</v>
      </c>
      <c r="G33" s="15">
        <v>273</v>
      </c>
    </row>
    <row r="34" spans="1:7" ht="12.75">
      <c r="A34" s="22">
        <f t="shared" si="1"/>
        <v>42238</v>
      </c>
      <c r="B34" s="15">
        <v>49691025</v>
      </c>
      <c r="C34" s="15">
        <v>515938.84</v>
      </c>
      <c r="D34" s="15">
        <f t="shared" si="0"/>
        <v>45637303.16</v>
      </c>
      <c r="E34" s="15">
        <v>3537783</v>
      </c>
      <c r="F34" s="16">
        <v>1747</v>
      </c>
      <c r="G34" s="15">
        <v>289</v>
      </c>
    </row>
    <row r="35" spans="1:7" ht="12.75">
      <c r="A35" s="22">
        <f t="shared" si="1"/>
        <v>42245</v>
      </c>
      <c r="B35" s="15">
        <v>45643889</v>
      </c>
      <c r="C35" s="15">
        <v>377930.25</v>
      </c>
      <c r="D35" s="15">
        <f t="shared" si="0"/>
        <v>42037048.75</v>
      </c>
      <c r="E35" s="15">
        <v>3228910</v>
      </c>
      <c r="F35" s="16">
        <v>1747</v>
      </c>
      <c r="G35" s="15">
        <v>264</v>
      </c>
    </row>
    <row r="36" spans="1:7" ht="12.75">
      <c r="A36" s="22">
        <f t="shared" si="1"/>
        <v>42252</v>
      </c>
      <c r="B36" s="15">
        <v>50412964</v>
      </c>
      <c r="C36" s="15">
        <f>458864.27-84920</f>
        <v>373944.27</v>
      </c>
      <c r="D36" s="15">
        <f t="shared" si="0"/>
        <v>46269097.73</v>
      </c>
      <c r="E36" s="15">
        <v>3769922</v>
      </c>
      <c r="F36" s="16">
        <v>1732.142857142857</v>
      </c>
      <c r="G36" s="15">
        <v>311</v>
      </c>
    </row>
    <row r="37" spans="1:7" ht="12.75">
      <c r="A37" s="22">
        <f t="shared" si="1"/>
        <v>42259</v>
      </c>
      <c r="B37" s="15">
        <v>49546580</v>
      </c>
      <c r="C37" s="15">
        <v>429885.46</v>
      </c>
      <c r="D37" s="15">
        <f t="shared" si="0"/>
        <v>45589823.54</v>
      </c>
      <c r="E37" s="15">
        <v>3526871</v>
      </c>
      <c r="F37" s="16">
        <v>1733</v>
      </c>
      <c r="G37" s="15">
        <v>291</v>
      </c>
    </row>
    <row r="38" spans="1:7" ht="12.75">
      <c r="A38" s="22">
        <f t="shared" si="1"/>
        <v>42266</v>
      </c>
      <c r="B38" s="15">
        <v>42259956</v>
      </c>
      <c r="C38" s="15">
        <v>466049.55</v>
      </c>
      <c r="D38" s="15">
        <f t="shared" si="0"/>
        <v>39021570.45</v>
      </c>
      <c r="E38" s="15">
        <v>2772336</v>
      </c>
      <c r="F38" s="16">
        <v>1733</v>
      </c>
      <c r="G38" s="15">
        <v>229</v>
      </c>
    </row>
    <row r="39" spans="1:7" ht="12.75">
      <c r="A39" s="22">
        <f t="shared" si="1"/>
        <v>42273</v>
      </c>
      <c r="B39" s="15">
        <v>41441098</v>
      </c>
      <c r="C39" s="15">
        <v>398853.57</v>
      </c>
      <c r="D39" s="15">
        <f t="shared" si="0"/>
        <v>38075872.43</v>
      </c>
      <c r="E39" s="15">
        <v>2966372</v>
      </c>
      <c r="F39" s="16">
        <v>1733</v>
      </c>
      <c r="G39" s="15">
        <v>245</v>
      </c>
    </row>
    <row r="40" spans="1:7" ht="12.75">
      <c r="A40" s="22">
        <f t="shared" si="1"/>
        <v>42280</v>
      </c>
      <c r="B40" s="15">
        <v>43055756</v>
      </c>
      <c r="C40" s="15">
        <v>404839.74</v>
      </c>
      <c r="D40" s="15">
        <f t="shared" si="0"/>
        <v>39434307.26</v>
      </c>
      <c r="E40" s="15">
        <v>3216609</v>
      </c>
      <c r="F40" s="16">
        <v>1733</v>
      </c>
      <c r="G40" s="15">
        <v>265</v>
      </c>
    </row>
    <row r="41" spans="1:7" ht="12.75">
      <c r="A41" s="22">
        <f t="shared" si="1"/>
        <v>42287</v>
      </c>
      <c r="B41" s="15">
        <v>42715464</v>
      </c>
      <c r="C41" s="15">
        <f>394261.71-61283</f>
        <v>332978.71</v>
      </c>
      <c r="D41" s="15">
        <f t="shared" si="0"/>
        <v>39335531.29</v>
      </c>
      <c r="E41" s="15">
        <v>3046954</v>
      </c>
      <c r="F41" s="16">
        <v>1733</v>
      </c>
      <c r="G41" s="15">
        <v>251</v>
      </c>
    </row>
    <row r="42" spans="1:7" ht="12.75">
      <c r="A42" s="22">
        <f t="shared" si="1"/>
        <v>42294</v>
      </c>
      <c r="B42" s="15">
        <v>43474763</v>
      </c>
      <c r="C42" s="15">
        <v>432632.52</v>
      </c>
      <c r="D42" s="15">
        <f t="shared" si="0"/>
        <v>40011542.48</v>
      </c>
      <c r="E42" s="15">
        <v>3030588</v>
      </c>
      <c r="F42" s="16">
        <v>1733</v>
      </c>
      <c r="G42" s="15">
        <v>250</v>
      </c>
    </row>
    <row r="43" spans="1:7" ht="12.75">
      <c r="A43" s="22">
        <f t="shared" si="1"/>
        <v>42301</v>
      </c>
      <c r="B43" s="15">
        <v>39770541</v>
      </c>
      <c r="C43" s="15">
        <v>362756</v>
      </c>
      <c r="D43" s="15">
        <f t="shared" si="0"/>
        <v>36735482</v>
      </c>
      <c r="E43" s="15">
        <v>2672303</v>
      </c>
      <c r="F43" s="16">
        <v>1733</v>
      </c>
      <c r="G43" s="15">
        <v>220</v>
      </c>
    </row>
    <row r="44" spans="1:7" ht="12.75">
      <c r="A44" s="22">
        <f t="shared" si="1"/>
        <v>42308</v>
      </c>
      <c r="B44" s="15">
        <v>41268493</v>
      </c>
      <c r="C44" s="15">
        <v>382668</v>
      </c>
      <c r="D44" s="15">
        <f t="shared" si="0"/>
        <v>38043122</v>
      </c>
      <c r="E44" s="15">
        <v>2842703</v>
      </c>
      <c r="F44" s="16">
        <v>1733</v>
      </c>
      <c r="G44" s="15">
        <v>234</v>
      </c>
    </row>
    <row r="45" spans="1:7" ht="12.75">
      <c r="A45" s="22">
        <f t="shared" si="1"/>
        <v>42315</v>
      </c>
      <c r="B45" s="15">
        <v>43367763</v>
      </c>
      <c r="C45" s="15">
        <f>377460.92-68730</f>
        <v>308730.92</v>
      </c>
      <c r="D45" s="15">
        <f t="shared" si="0"/>
        <v>39982511.08</v>
      </c>
      <c r="E45" s="15">
        <v>3076521</v>
      </c>
      <c r="F45" s="16">
        <v>1733</v>
      </c>
      <c r="G45" s="15">
        <v>254</v>
      </c>
    </row>
    <row r="46" spans="1:7" ht="12.75">
      <c r="A46" s="22">
        <f t="shared" si="1"/>
        <v>42322</v>
      </c>
      <c r="B46" s="15">
        <v>41218988</v>
      </c>
      <c r="C46" s="15">
        <v>412529.49</v>
      </c>
      <c r="D46" s="15">
        <f t="shared" si="0"/>
        <v>37955045.51</v>
      </c>
      <c r="E46" s="15">
        <v>2851413</v>
      </c>
      <c r="F46" s="16">
        <v>1733</v>
      </c>
      <c r="G46" s="15">
        <v>235</v>
      </c>
    </row>
    <row r="47" spans="1:7" ht="12.75">
      <c r="A47" s="22">
        <f t="shared" si="1"/>
        <v>42329</v>
      </c>
      <c r="B47" s="15">
        <v>39365519</v>
      </c>
      <c r="C47" s="15">
        <v>348664</v>
      </c>
      <c r="D47" s="15">
        <f t="shared" si="0"/>
        <v>36155925</v>
      </c>
      <c r="E47" s="15">
        <v>2860930</v>
      </c>
      <c r="F47" s="16">
        <v>1733</v>
      </c>
      <c r="G47" s="15">
        <v>236</v>
      </c>
    </row>
    <row r="48" spans="1:7" ht="12.75">
      <c r="A48" s="22">
        <f t="shared" si="1"/>
        <v>42336</v>
      </c>
      <c r="B48" s="15">
        <v>40652484</v>
      </c>
      <c r="C48" s="15">
        <v>356398.78</v>
      </c>
      <c r="D48" s="15">
        <f t="shared" si="0"/>
        <v>37402249.22</v>
      </c>
      <c r="E48" s="15">
        <v>2893836</v>
      </c>
      <c r="F48" s="16">
        <v>1734.7142857142858</v>
      </c>
      <c r="G48" s="15">
        <v>238</v>
      </c>
    </row>
    <row r="49" spans="1:7" ht="12.75">
      <c r="A49" s="22">
        <f t="shared" si="1"/>
        <v>42343</v>
      </c>
      <c r="B49" s="15">
        <v>38073243</v>
      </c>
      <c r="C49" s="15">
        <v>327828.29</v>
      </c>
      <c r="D49" s="15">
        <f t="shared" si="0"/>
        <v>34951009.71</v>
      </c>
      <c r="E49" s="15">
        <v>2794405</v>
      </c>
      <c r="F49" s="16">
        <v>1735</v>
      </c>
      <c r="G49" s="15">
        <v>230</v>
      </c>
    </row>
    <row r="50" spans="1:7" ht="12.75">
      <c r="A50" s="22">
        <f t="shared" si="1"/>
        <v>42350</v>
      </c>
      <c r="B50" s="15">
        <v>37577095</v>
      </c>
      <c r="C50" s="15">
        <v>368277.81</v>
      </c>
      <c r="D50" s="15">
        <f t="shared" si="0"/>
        <v>34477762.19</v>
      </c>
      <c r="E50" s="15">
        <v>2731055</v>
      </c>
      <c r="F50" s="16">
        <f>12145/7</f>
        <v>1735</v>
      </c>
      <c r="G50" s="15">
        <v>225</v>
      </c>
    </row>
    <row r="51" spans="1:7" ht="12.75">
      <c r="A51" s="22">
        <f t="shared" si="1"/>
        <v>42357</v>
      </c>
      <c r="B51" s="15">
        <v>36230586</v>
      </c>
      <c r="C51" s="15">
        <v>320467.16</v>
      </c>
      <c r="D51" s="15">
        <f t="shared" si="0"/>
        <v>33410904.840000004</v>
      </c>
      <c r="E51" s="15">
        <v>2499214</v>
      </c>
      <c r="F51" s="16">
        <v>1735</v>
      </c>
      <c r="G51" s="15">
        <v>206</v>
      </c>
    </row>
    <row r="52" spans="1:7" ht="12.75">
      <c r="A52" s="22">
        <f t="shared" si="1"/>
        <v>42364</v>
      </c>
      <c r="B52" s="15">
        <v>36737868</v>
      </c>
      <c r="C52" s="15">
        <v>287164.04</v>
      </c>
      <c r="D52" s="15">
        <f t="shared" si="0"/>
        <v>33871231.96</v>
      </c>
      <c r="E52" s="15">
        <v>2579472</v>
      </c>
      <c r="F52" s="16">
        <f>12145/7</f>
        <v>1735</v>
      </c>
      <c r="G52" s="15">
        <v>212</v>
      </c>
    </row>
    <row r="53" spans="1:7" ht="12.75">
      <c r="A53" s="22">
        <f t="shared" si="1"/>
        <v>42371</v>
      </c>
      <c r="B53" s="15">
        <v>50955271</v>
      </c>
      <c r="C53" s="15">
        <v>382699.99</v>
      </c>
      <c r="D53" s="15">
        <f t="shared" si="0"/>
        <v>46941512.01</v>
      </c>
      <c r="E53" s="15">
        <v>3631059</v>
      </c>
      <c r="F53" s="16">
        <v>1735</v>
      </c>
      <c r="G53" s="15">
        <v>299</v>
      </c>
    </row>
    <row r="54" spans="1:7" ht="12.75">
      <c r="A54" s="22">
        <f t="shared" si="1"/>
        <v>42378</v>
      </c>
      <c r="B54" s="15">
        <v>38259903</v>
      </c>
      <c r="C54" s="15">
        <f>323841.01-50612</f>
        <v>273229.01</v>
      </c>
      <c r="D54" s="15">
        <f t="shared" si="0"/>
        <v>35449212.99</v>
      </c>
      <c r="E54" s="15">
        <v>2537461</v>
      </c>
      <c r="F54" s="16">
        <v>1735</v>
      </c>
      <c r="G54" s="15">
        <v>209</v>
      </c>
    </row>
    <row r="55" spans="1:7" ht="12.75">
      <c r="A55" s="22">
        <f t="shared" si="1"/>
        <v>42385</v>
      </c>
      <c r="B55" s="15">
        <v>36541409</v>
      </c>
      <c r="C55" s="15">
        <v>356545.51</v>
      </c>
      <c r="D55" s="15">
        <f t="shared" si="0"/>
        <v>33604195.49</v>
      </c>
      <c r="E55" s="15">
        <v>2580668</v>
      </c>
      <c r="F55" s="16">
        <v>1735</v>
      </c>
      <c r="G55" s="15">
        <v>212</v>
      </c>
    </row>
    <row r="56" spans="1:7" ht="12.75">
      <c r="A56" s="22">
        <f t="shared" si="1"/>
        <v>42392</v>
      </c>
      <c r="B56" s="15">
        <v>40190114</v>
      </c>
      <c r="C56" s="15">
        <v>341407.25</v>
      </c>
      <c r="D56" s="15">
        <f t="shared" si="0"/>
        <v>37041016.75</v>
      </c>
      <c r="E56" s="15">
        <v>2807690</v>
      </c>
      <c r="F56" s="16">
        <v>1735</v>
      </c>
      <c r="G56" s="15">
        <v>231</v>
      </c>
    </row>
    <row r="57" spans="1:7" ht="12.75">
      <c r="A57" s="22">
        <f t="shared" si="1"/>
        <v>42399</v>
      </c>
      <c r="B57" s="15">
        <v>41461497</v>
      </c>
      <c r="C57" s="15">
        <v>358824.1</v>
      </c>
      <c r="D57" s="15">
        <f t="shared" si="0"/>
        <v>38099989.9</v>
      </c>
      <c r="E57" s="15">
        <v>3002683</v>
      </c>
      <c r="F57" s="16">
        <v>1735</v>
      </c>
      <c r="G57" s="15">
        <v>247</v>
      </c>
    </row>
    <row r="58" spans="1:7" ht="12.75">
      <c r="A58" s="22">
        <f t="shared" si="1"/>
        <v>42406</v>
      </c>
      <c r="B58" s="15">
        <v>44919369</v>
      </c>
      <c r="C58" s="15">
        <v>350327.27</v>
      </c>
      <c r="D58" s="15">
        <f t="shared" si="0"/>
        <v>41447721.73</v>
      </c>
      <c r="E58" s="15">
        <v>3121320</v>
      </c>
      <c r="F58" s="16">
        <v>1735</v>
      </c>
      <c r="G58" s="15">
        <v>257</v>
      </c>
    </row>
    <row r="59" spans="1:7" ht="12.75">
      <c r="A59" s="22">
        <f t="shared" si="1"/>
        <v>42413</v>
      </c>
      <c r="B59" s="15">
        <v>39817696</v>
      </c>
      <c r="C59" s="15">
        <f>307688.05-58144</f>
        <v>249544.05</v>
      </c>
      <c r="D59" s="15">
        <f t="shared" si="0"/>
        <v>36705363.95</v>
      </c>
      <c r="E59" s="15">
        <v>2862788</v>
      </c>
      <c r="F59" s="16">
        <v>1735</v>
      </c>
      <c r="G59" s="15">
        <v>236</v>
      </c>
    </row>
    <row r="60" spans="1:7" ht="12.75">
      <c r="A60" s="22">
        <f t="shared" si="1"/>
        <v>42420</v>
      </c>
      <c r="B60" s="15">
        <v>46261262</v>
      </c>
      <c r="C60" s="15">
        <v>388986.89</v>
      </c>
      <c r="D60" s="15">
        <f t="shared" si="0"/>
        <v>42537751.11</v>
      </c>
      <c r="E60" s="15">
        <v>3334524</v>
      </c>
      <c r="F60" s="16">
        <v>1735</v>
      </c>
      <c r="G60" s="15">
        <v>275</v>
      </c>
    </row>
    <row r="61" spans="1:7" ht="12.75">
      <c r="A61" s="22">
        <f t="shared" si="1"/>
        <v>42427</v>
      </c>
      <c r="B61" s="15">
        <v>46708908</v>
      </c>
      <c r="C61" s="15">
        <f>362378.83-55050</f>
        <v>307328.83</v>
      </c>
      <c r="D61" s="15">
        <f t="shared" si="0"/>
        <v>43036843.17</v>
      </c>
      <c r="E61" s="15">
        <v>3364736</v>
      </c>
      <c r="F61" s="16">
        <v>1735</v>
      </c>
      <c r="G61" s="15">
        <v>277</v>
      </c>
    </row>
    <row r="62" spans="1:7" ht="12.75">
      <c r="A62" s="22">
        <f t="shared" si="1"/>
        <v>42434</v>
      </c>
      <c r="B62" s="15">
        <v>48319051</v>
      </c>
      <c r="C62" s="15">
        <v>409410.32</v>
      </c>
      <c r="D62" s="15">
        <f t="shared" si="0"/>
        <v>44333433.68</v>
      </c>
      <c r="E62" s="15">
        <v>3576207</v>
      </c>
      <c r="F62" s="16">
        <v>1735</v>
      </c>
      <c r="G62" s="15">
        <v>294</v>
      </c>
    </row>
    <row r="63" spans="1:7" ht="12.75">
      <c r="A63" s="22">
        <f t="shared" si="1"/>
        <v>42441</v>
      </c>
      <c r="B63" s="15">
        <v>45910781</v>
      </c>
      <c r="C63" s="15">
        <v>382075.32</v>
      </c>
      <c r="D63" s="15">
        <f t="shared" si="0"/>
        <v>42284947.68</v>
      </c>
      <c r="E63" s="15">
        <v>3243758</v>
      </c>
      <c r="F63" s="16">
        <v>1735</v>
      </c>
      <c r="G63" s="15">
        <v>267</v>
      </c>
    </row>
    <row r="64" spans="1:7" ht="12.75">
      <c r="A64" s="22">
        <f t="shared" si="1"/>
        <v>42448</v>
      </c>
      <c r="B64" s="15">
        <v>45653203</v>
      </c>
      <c r="C64" s="15">
        <v>406834.75</v>
      </c>
      <c r="D64" s="15">
        <f t="shared" si="0"/>
        <v>42226822.25</v>
      </c>
      <c r="E64" s="15">
        <v>3019546</v>
      </c>
      <c r="F64" s="16">
        <v>1735</v>
      </c>
      <c r="G64" s="15">
        <v>249</v>
      </c>
    </row>
    <row r="65" spans="1:7" ht="12.75">
      <c r="A65" s="22">
        <f t="shared" si="1"/>
        <v>42455</v>
      </c>
      <c r="B65" s="15">
        <v>46546545</v>
      </c>
      <c r="C65" s="15">
        <v>401611.21</v>
      </c>
      <c r="D65" s="15">
        <f t="shared" si="0"/>
        <v>43038123.79</v>
      </c>
      <c r="E65" s="15">
        <v>3106810</v>
      </c>
      <c r="F65" s="16">
        <v>1735</v>
      </c>
      <c r="G65" s="15">
        <v>256</v>
      </c>
    </row>
    <row r="66" ht="12.75">
      <c r="A66" s="22"/>
    </row>
    <row r="67" spans="1:7" ht="13.5" thickBot="1">
      <c r="A67" s="3" t="s">
        <v>8</v>
      </c>
      <c r="B67" s="17">
        <f>SUM(B13:B65)</f>
        <v>2342417594</v>
      </c>
      <c r="C67" s="17">
        <f>SUM(C13:C65)</f>
        <v>20782788.750000004</v>
      </c>
      <c r="D67" s="17">
        <f>SUM(D13:D65)</f>
        <v>2155650901.2500005</v>
      </c>
      <c r="E67" s="17">
        <f>SUM(E13:E65)</f>
        <v>165983904</v>
      </c>
      <c r="F67" s="24">
        <f>SUM(F13:F66)/COUNT(F13:F66)</f>
        <v>1752.5876010781667</v>
      </c>
      <c r="G67" s="17">
        <f>+E67/SUM(F13:F66)/7</f>
        <v>255.2773780778518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54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26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44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30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41698086.1</v>
      </c>
      <c r="C13" s="15">
        <v>310007.1</v>
      </c>
      <c r="D13" s="15">
        <f aca="true" t="shared" si="0" ref="D13:D64">+B13-C13-E13</f>
        <v>38077351</v>
      </c>
      <c r="E13" s="15">
        <v>3310728</v>
      </c>
      <c r="F13" s="16">
        <v>1782</v>
      </c>
      <c r="G13" s="15">
        <v>265</v>
      </c>
    </row>
    <row r="14" spans="1:7" ht="12.75">
      <c r="A14" s="22">
        <f aca="true" t="shared" si="1" ref="A14:A64">+A13+7</f>
        <v>41734</v>
      </c>
      <c r="B14" s="15">
        <v>44372072.14</v>
      </c>
      <c r="C14" s="15">
        <f>335913.14-45135</f>
        <v>290778.14</v>
      </c>
      <c r="D14" s="15">
        <f t="shared" si="0"/>
        <v>40629090</v>
      </c>
      <c r="E14" s="15">
        <v>3452204</v>
      </c>
      <c r="F14" s="16">
        <v>1782</v>
      </c>
      <c r="G14" s="15">
        <v>277</v>
      </c>
    </row>
    <row r="15" spans="1:7" ht="12.75">
      <c r="A15" s="22">
        <f t="shared" si="1"/>
        <v>41741</v>
      </c>
      <c r="B15" s="15">
        <v>42066285.39</v>
      </c>
      <c r="C15" s="15">
        <v>306150.39</v>
      </c>
      <c r="D15" s="15">
        <f t="shared" si="0"/>
        <v>38592634</v>
      </c>
      <c r="E15" s="15">
        <v>3167501</v>
      </c>
      <c r="F15" s="16">
        <v>1782</v>
      </c>
      <c r="G15" s="15">
        <v>254</v>
      </c>
    </row>
    <row r="16" spans="1:7" ht="12.75">
      <c r="A16" s="22">
        <f t="shared" si="1"/>
        <v>41748</v>
      </c>
      <c r="B16" s="15">
        <v>40327146.88</v>
      </c>
      <c r="C16" s="15">
        <v>333359.88</v>
      </c>
      <c r="D16" s="15">
        <f t="shared" si="0"/>
        <v>36917070</v>
      </c>
      <c r="E16" s="15">
        <v>3076717</v>
      </c>
      <c r="F16" s="16">
        <v>1782</v>
      </c>
      <c r="G16" s="15">
        <v>247</v>
      </c>
    </row>
    <row r="17" spans="1:7" ht="12.75">
      <c r="A17" s="22">
        <f t="shared" si="1"/>
        <v>41755</v>
      </c>
      <c r="B17" s="15">
        <v>42549650.79</v>
      </c>
      <c r="C17" s="15">
        <v>313308.79</v>
      </c>
      <c r="D17" s="15">
        <f t="shared" si="0"/>
        <v>39029402</v>
      </c>
      <c r="E17" s="15">
        <v>3206940</v>
      </c>
      <c r="F17" s="16">
        <v>1782</v>
      </c>
      <c r="G17" s="15">
        <v>257</v>
      </c>
    </row>
    <row r="18" spans="1:7" ht="12.75">
      <c r="A18" s="22">
        <f t="shared" si="1"/>
        <v>41762</v>
      </c>
      <c r="B18" s="15">
        <v>45054654.69</v>
      </c>
      <c r="C18" s="15">
        <v>329415.69</v>
      </c>
      <c r="D18" s="15">
        <f t="shared" si="0"/>
        <v>41313125</v>
      </c>
      <c r="E18" s="15">
        <v>3412114</v>
      </c>
      <c r="F18" s="16">
        <v>1782</v>
      </c>
      <c r="G18" s="15">
        <v>274</v>
      </c>
    </row>
    <row r="19" spans="1:7" ht="12.75">
      <c r="A19" s="22">
        <f t="shared" si="1"/>
        <v>41769</v>
      </c>
      <c r="B19" s="15">
        <v>40533523.67</v>
      </c>
      <c r="C19" s="15">
        <v>331058.67</v>
      </c>
      <c r="D19" s="15">
        <f t="shared" si="0"/>
        <v>37138095</v>
      </c>
      <c r="E19" s="15">
        <v>3064370</v>
      </c>
      <c r="F19" s="16">
        <v>1782</v>
      </c>
      <c r="G19" s="15">
        <v>246</v>
      </c>
    </row>
    <row r="20" spans="1:7" ht="12.75">
      <c r="A20" s="22">
        <f t="shared" si="1"/>
        <v>41776</v>
      </c>
      <c r="B20" s="15">
        <v>41832808.17</v>
      </c>
      <c r="C20" s="15">
        <f>292704.17-42350</f>
        <v>250354.16999999998</v>
      </c>
      <c r="D20" s="15">
        <f t="shared" si="0"/>
        <v>38457407</v>
      </c>
      <c r="E20" s="15">
        <v>3125047</v>
      </c>
      <c r="F20" s="16">
        <v>1782</v>
      </c>
      <c r="G20" s="15">
        <v>251</v>
      </c>
    </row>
    <row r="21" spans="1:7" ht="12.75">
      <c r="A21" s="22">
        <f t="shared" si="1"/>
        <v>41783</v>
      </c>
      <c r="B21" s="15">
        <v>43042263.5</v>
      </c>
      <c r="C21" s="15">
        <v>359854.5</v>
      </c>
      <c r="D21" s="15">
        <f t="shared" si="0"/>
        <v>39371439</v>
      </c>
      <c r="E21" s="15">
        <v>3310970</v>
      </c>
      <c r="F21" s="16">
        <v>1782</v>
      </c>
      <c r="G21" s="15">
        <v>265</v>
      </c>
    </row>
    <row r="22" spans="1:7" ht="12.75">
      <c r="A22" s="22">
        <f t="shared" si="1"/>
        <v>41790</v>
      </c>
      <c r="B22" s="15">
        <v>43999233.89</v>
      </c>
      <c r="C22" s="15">
        <v>373756.89</v>
      </c>
      <c r="D22" s="15">
        <f t="shared" si="0"/>
        <v>40323026</v>
      </c>
      <c r="E22" s="15">
        <v>3302451</v>
      </c>
      <c r="F22" s="16">
        <v>1782</v>
      </c>
      <c r="G22" s="15">
        <v>265</v>
      </c>
    </row>
    <row r="23" spans="1:7" ht="12.75">
      <c r="A23" s="22">
        <f t="shared" si="1"/>
        <v>41797</v>
      </c>
      <c r="B23" s="15">
        <v>38970383.25</v>
      </c>
      <c r="C23" s="15">
        <v>314158.25</v>
      </c>
      <c r="D23" s="15">
        <f t="shared" si="0"/>
        <v>35746827</v>
      </c>
      <c r="E23" s="15">
        <v>2909398</v>
      </c>
      <c r="F23" s="16">
        <v>1782</v>
      </c>
      <c r="G23" s="15">
        <v>233</v>
      </c>
    </row>
    <row r="24" spans="1:7" ht="12.75">
      <c r="A24" s="22">
        <f t="shared" si="1"/>
        <v>41804</v>
      </c>
      <c r="B24" s="15">
        <v>42882024.95</v>
      </c>
      <c r="C24" s="15">
        <v>323479.95</v>
      </c>
      <c r="D24" s="15">
        <f t="shared" si="0"/>
        <v>39280103</v>
      </c>
      <c r="E24" s="15">
        <v>3278442</v>
      </c>
      <c r="F24" s="16">
        <v>1782</v>
      </c>
      <c r="G24" s="15">
        <v>263</v>
      </c>
    </row>
    <row r="25" spans="1:7" ht="12.75">
      <c r="A25" s="22">
        <f t="shared" si="1"/>
        <v>41811</v>
      </c>
      <c r="B25" s="15">
        <v>40262279.18</v>
      </c>
      <c r="C25" s="15">
        <v>389667.18</v>
      </c>
      <c r="D25" s="15">
        <f t="shared" si="0"/>
        <v>37014263</v>
      </c>
      <c r="E25" s="15">
        <v>2858349</v>
      </c>
      <c r="F25" s="16">
        <v>1782</v>
      </c>
      <c r="G25" s="15">
        <v>229</v>
      </c>
    </row>
    <row r="26" spans="1:7" ht="12.75">
      <c r="A26" s="22">
        <f t="shared" si="1"/>
        <v>41818</v>
      </c>
      <c r="B26" s="15">
        <v>40435377.41</v>
      </c>
      <c r="C26" s="15">
        <f>316248.41-49370</f>
        <v>266878.41</v>
      </c>
      <c r="D26" s="15">
        <f t="shared" si="0"/>
        <v>37223574</v>
      </c>
      <c r="E26" s="15">
        <v>2944925</v>
      </c>
      <c r="F26" s="16">
        <v>1782</v>
      </c>
      <c r="G26" s="15">
        <v>236</v>
      </c>
    </row>
    <row r="27" spans="1:7" ht="12.75">
      <c r="A27" s="22">
        <f t="shared" si="1"/>
        <v>41825</v>
      </c>
      <c r="B27" s="15">
        <v>44547117.59</v>
      </c>
      <c r="C27" s="15">
        <v>321936.59</v>
      </c>
      <c r="D27" s="15">
        <f t="shared" si="0"/>
        <v>40786352</v>
      </c>
      <c r="E27" s="15">
        <v>3438829</v>
      </c>
      <c r="F27" s="16">
        <v>1782</v>
      </c>
      <c r="G27" s="15">
        <v>276</v>
      </c>
    </row>
    <row r="28" spans="1:7" ht="12.75">
      <c r="A28" s="22">
        <f t="shared" si="1"/>
        <v>41832</v>
      </c>
      <c r="B28" s="15">
        <v>43190000.47</v>
      </c>
      <c r="C28" s="15">
        <f>348930.47-66365</f>
        <v>282565.47</v>
      </c>
      <c r="D28" s="15">
        <f t="shared" si="0"/>
        <v>39718507</v>
      </c>
      <c r="E28" s="15">
        <v>3188928</v>
      </c>
      <c r="F28" s="16">
        <v>1782</v>
      </c>
      <c r="G28" s="15">
        <v>256</v>
      </c>
    </row>
    <row r="29" spans="1:7" ht="12.75">
      <c r="A29" s="22">
        <f t="shared" si="1"/>
        <v>41839</v>
      </c>
      <c r="B29" s="15">
        <v>41731163.58</v>
      </c>
      <c r="C29" s="15">
        <v>381105.58</v>
      </c>
      <c r="D29" s="15">
        <f t="shared" si="0"/>
        <v>38292915</v>
      </c>
      <c r="E29" s="15">
        <v>3057143</v>
      </c>
      <c r="F29" s="16">
        <v>1782</v>
      </c>
      <c r="G29" s="15">
        <v>245</v>
      </c>
    </row>
    <row r="30" spans="1:7" ht="12.75">
      <c r="A30" s="22">
        <f t="shared" si="1"/>
        <v>41846</v>
      </c>
      <c r="B30" s="15">
        <v>43050965.42</v>
      </c>
      <c r="C30" s="15">
        <v>375070.42</v>
      </c>
      <c r="D30" s="15">
        <f t="shared" si="0"/>
        <v>39577505</v>
      </c>
      <c r="E30" s="15">
        <v>3098390</v>
      </c>
      <c r="F30" s="16">
        <v>1782</v>
      </c>
      <c r="G30" s="15">
        <v>248</v>
      </c>
    </row>
    <row r="31" spans="1:7" ht="12.75">
      <c r="A31" s="22">
        <f t="shared" si="1"/>
        <v>41853</v>
      </c>
      <c r="B31" s="15">
        <v>47852013.86</v>
      </c>
      <c r="C31" s="15">
        <v>356564.86</v>
      </c>
      <c r="D31" s="15">
        <f t="shared" si="0"/>
        <v>43755259</v>
      </c>
      <c r="E31" s="15">
        <v>3740190</v>
      </c>
      <c r="F31" s="16">
        <v>1782</v>
      </c>
      <c r="G31" s="15">
        <v>300</v>
      </c>
    </row>
    <row r="32" spans="1:7" ht="12.75">
      <c r="A32" s="22">
        <f t="shared" si="1"/>
        <v>41860</v>
      </c>
      <c r="B32" s="15">
        <v>46429375.07</v>
      </c>
      <c r="C32" s="15">
        <f>379094.07-44635</f>
        <v>334459.07</v>
      </c>
      <c r="D32" s="15">
        <f t="shared" si="0"/>
        <v>42597755</v>
      </c>
      <c r="E32" s="15">
        <v>3497161</v>
      </c>
      <c r="F32" s="16">
        <v>1782</v>
      </c>
      <c r="G32" s="15">
        <v>280</v>
      </c>
    </row>
    <row r="33" spans="1:7" ht="12.75">
      <c r="A33" s="22">
        <f t="shared" si="1"/>
        <v>41867</v>
      </c>
      <c r="B33" s="15">
        <v>47012644.2</v>
      </c>
      <c r="C33" s="15">
        <v>414562.2</v>
      </c>
      <c r="D33" s="15">
        <f t="shared" si="0"/>
        <v>43095164</v>
      </c>
      <c r="E33" s="15">
        <v>3502918</v>
      </c>
      <c r="F33" s="16">
        <v>1782</v>
      </c>
      <c r="G33" s="15">
        <v>281</v>
      </c>
    </row>
    <row r="34" spans="1:7" ht="12.75">
      <c r="A34" s="22">
        <f t="shared" si="1"/>
        <v>41874</v>
      </c>
      <c r="B34" s="15">
        <v>47329949.37</v>
      </c>
      <c r="C34" s="15">
        <v>383147.37</v>
      </c>
      <c r="D34" s="15">
        <f t="shared" si="0"/>
        <v>43522397</v>
      </c>
      <c r="E34" s="15">
        <v>3424405</v>
      </c>
      <c r="F34" s="16">
        <v>1782</v>
      </c>
      <c r="G34" s="15">
        <v>275</v>
      </c>
    </row>
    <row r="35" spans="1:7" ht="12.75">
      <c r="A35" s="22">
        <f t="shared" si="1"/>
        <v>41881</v>
      </c>
      <c r="B35" s="15">
        <v>46424217.85</v>
      </c>
      <c r="C35" s="15">
        <v>329841.85</v>
      </c>
      <c r="D35" s="15">
        <f t="shared" si="0"/>
        <v>42546417</v>
      </c>
      <c r="E35" s="15">
        <v>3547959</v>
      </c>
      <c r="F35" s="16">
        <v>1782</v>
      </c>
      <c r="G35" s="15">
        <v>284</v>
      </c>
    </row>
    <row r="36" spans="1:7" ht="12.75">
      <c r="A36" s="22">
        <f t="shared" si="1"/>
        <v>41888</v>
      </c>
      <c r="B36" s="15">
        <v>47871489.41</v>
      </c>
      <c r="C36" s="15">
        <v>402779.41</v>
      </c>
      <c r="D36" s="15">
        <f t="shared" si="0"/>
        <v>44046456</v>
      </c>
      <c r="E36" s="15">
        <v>3422254</v>
      </c>
      <c r="F36" s="16">
        <v>1782</v>
      </c>
      <c r="G36" s="15">
        <v>274</v>
      </c>
    </row>
    <row r="37" spans="1:7" ht="12.75">
      <c r="A37" s="22">
        <f t="shared" si="1"/>
        <v>41895</v>
      </c>
      <c r="B37" s="15">
        <v>41349786.26</v>
      </c>
      <c r="C37" s="15">
        <v>334693.26</v>
      </c>
      <c r="D37" s="15">
        <f t="shared" si="0"/>
        <v>38017746</v>
      </c>
      <c r="E37" s="15">
        <v>2997347</v>
      </c>
      <c r="F37" s="16">
        <v>1782</v>
      </c>
      <c r="G37" s="15">
        <v>240</v>
      </c>
    </row>
    <row r="38" spans="1:7" ht="12.75">
      <c r="A38" s="22">
        <f t="shared" si="1"/>
        <v>41902</v>
      </c>
      <c r="B38" s="15">
        <v>40449158.15</v>
      </c>
      <c r="C38" s="15">
        <f>408423.15-51089</f>
        <v>357334.15</v>
      </c>
      <c r="D38" s="15">
        <f t="shared" si="0"/>
        <v>37117823</v>
      </c>
      <c r="E38" s="15">
        <v>2974001</v>
      </c>
      <c r="F38" s="16">
        <v>1782</v>
      </c>
      <c r="G38" s="15">
        <v>238</v>
      </c>
    </row>
    <row r="39" spans="1:7" ht="12.75">
      <c r="A39" s="22">
        <f t="shared" si="1"/>
        <v>41909</v>
      </c>
      <c r="B39" s="15">
        <v>41371445.96</v>
      </c>
      <c r="C39" s="15">
        <v>437597.96</v>
      </c>
      <c r="D39" s="15">
        <f t="shared" si="0"/>
        <v>38048648</v>
      </c>
      <c r="E39" s="15">
        <v>2885200</v>
      </c>
      <c r="F39" s="16">
        <v>1782</v>
      </c>
      <c r="G39" s="15">
        <v>231</v>
      </c>
    </row>
    <row r="40" spans="1:7" ht="12.75">
      <c r="A40" s="22">
        <f t="shared" si="1"/>
        <v>41916</v>
      </c>
      <c r="B40" s="15">
        <v>43558578.8</v>
      </c>
      <c r="C40" s="15">
        <v>376946.8</v>
      </c>
      <c r="D40" s="15">
        <f t="shared" si="0"/>
        <v>40038835</v>
      </c>
      <c r="E40" s="15">
        <v>3142797</v>
      </c>
      <c r="F40" s="16">
        <v>1782</v>
      </c>
      <c r="G40" s="15">
        <v>252</v>
      </c>
    </row>
    <row r="41" spans="1:7" ht="12.75">
      <c r="A41" s="22">
        <f t="shared" si="1"/>
        <v>41923</v>
      </c>
      <c r="B41" s="15">
        <v>40600792.24</v>
      </c>
      <c r="C41" s="15">
        <f>458376.24-53256</f>
        <v>405120.24</v>
      </c>
      <c r="D41" s="15">
        <f t="shared" si="0"/>
        <v>37261829</v>
      </c>
      <c r="E41" s="15">
        <v>2933843</v>
      </c>
      <c r="F41" s="16">
        <v>1782</v>
      </c>
      <c r="G41" s="15">
        <v>235</v>
      </c>
    </row>
    <row r="42" spans="1:7" ht="12.75">
      <c r="A42" s="22">
        <f t="shared" si="1"/>
        <v>41930</v>
      </c>
      <c r="B42" s="15">
        <v>43873655.74</v>
      </c>
      <c r="C42" s="15">
        <v>428879.74</v>
      </c>
      <c r="D42" s="15">
        <f t="shared" si="0"/>
        <v>40198748</v>
      </c>
      <c r="E42" s="15">
        <v>3246028</v>
      </c>
      <c r="F42" s="16">
        <v>1782</v>
      </c>
      <c r="G42" s="15">
        <v>260</v>
      </c>
    </row>
    <row r="43" spans="1:7" ht="12.75">
      <c r="A43" s="22">
        <f t="shared" si="1"/>
        <v>41937</v>
      </c>
      <c r="B43" s="15">
        <v>41972675.44</v>
      </c>
      <c r="C43" s="15">
        <v>406146.44</v>
      </c>
      <c r="D43" s="15">
        <f t="shared" si="0"/>
        <v>38674801</v>
      </c>
      <c r="E43" s="15">
        <v>2891728</v>
      </c>
      <c r="F43" s="16">
        <v>1782</v>
      </c>
      <c r="G43" s="15">
        <v>232</v>
      </c>
    </row>
    <row r="44" spans="1:7" ht="12.75">
      <c r="A44" s="22">
        <f t="shared" si="1"/>
        <v>41944</v>
      </c>
      <c r="B44" s="15">
        <v>39476860.95</v>
      </c>
      <c r="C44" s="15">
        <v>378498.95</v>
      </c>
      <c r="D44" s="15">
        <f t="shared" si="0"/>
        <v>36197033</v>
      </c>
      <c r="E44" s="15">
        <v>2901329</v>
      </c>
      <c r="F44" s="16">
        <v>1782</v>
      </c>
      <c r="G44" s="15">
        <v>233</v>
      </c>
    </row>
    <row r="45" spans="1:7" ht="12.75">
      <c r="A45" s="22">
        <f t="shared" si="1"/>
        <v>41951</v>
      </c>
      <c r="B45" s="15">
        <v>40116250</v>
      </c>
      <c r="C45" s="15">
        <f>354104-37225.6-3405.4</f>
        <v>313473</v>
      </c>
      <c r="D45" s="15">
        <f t="shared" si="0"/>
        <v>36926151</v>
      </c>
      <c r="E45" s="15">
        <v>2876626</v>
      </c>
      <c r="F45" s="16">
        <v>1782</v>
      </c>
      <c r="G45" s="15">
        <v>231</v>
      </c>
    </row>
    <row r="46" spans="1:7" ht="12.75">
      <c r="A46" s="22">
        <f t="shared" si="1"/>
        <v>41958</v>
      </c>
      <c r="B46" s="15">
        <v>39852496.39</v>
      </c>
      <c r="C46" s="15">
        <v>437545.39</v>
      </c>
      <c r="D46" s="15">
        <f t="shared" si="0"/>
        <v>36591587</v>
      </c>
      <c r="E46" s="15">
        <v>2823364</v>
      </c>
      <c r="F46" s="16">
        <v>1782</v>
      </c>
      <c r="G46" s="15">
        <v>226</v>
      </c>
    </row>
    <row r="47" spans="1:7" ht="12.75">
      <c r="A47" s="22">
        <f t="shared" si="1"/>
        <v>41965</v>
      </c>
      <c r="B47" s="15">
        <v>36085927.55</v>
      </c>
      <c r="C47" s="15">
        <v>403771.55</v>
      </c>
      <c r="D47" s="15">
        <f t="shared" si="0"/>
        <v>33308675</v>
      </c>
      <c r="E47" s="15">
        <v>2373481</v>
      </c>
      <c r="F47" s="16">
        <v>1782</v>
      </c>
      <c r="G47" s="15">
        <v>190</v>
      </c>
    </row>
    <row r="48" spans="1:7" ht="12.75">
      <c r="A48" s="22">
        <f t="shared" si="1"/>
        <v>41972</v>
      </c>
      <c r="B48" s="15">
        <v>36566055.44</v>
      </c>
      <c r="C48" s="15">
        <v>350717.44</v>
      </c>
      <c r="D48" s="15">
        <f t="shared" si="0"/>
        <v>33636970</v>
      </c>
      <c r="E48" s="15">
        <v>2578368</v>
      </c>
      <c r="F48" s="16">
        <v>1782</v>
      </c>
      <c r="G48" s="15">
        <v>207</v>
      </c>
    </row>
    <row r="49" spans="1:7" ht="12.75">
      <c r="A49" s="22">
        <f t="shared" si="1"/>
        <v>41979</v>
      </c>
      <c r="B49" s="15">
        <v>35009304.24</v>
      </c>
      <c r="C49" s="15">
        <f>310768.24-48755</f>
        <v>262013.24</v>
      </c>
      <c r="D49" s="15">
        <f t="shared" si="0"/>
        <v>32062097</v>
      </c>
      <c r="E49" s="15">
        <v>2685194</v>
      </c>
      <c r="F49" s="16">
        <v>1782</v>
      </c>
      <c r="G49" s="15">
        <v>215</v>
      </c>
    </row>
    <row r="50" spans="1:7" ht="12.75">
      <c r="A50" s="22">
        <f t="shared" si="1"/>
        <v>41986</v>
      </c>
      <c r="B50" s="15">
        <v>32145819.47</v>
      </c>
      <c r="C50" s="15">
        <v>338979.47</v>
      </c>
      <c r="D50" s="15">
        <f t="shared" si="0"/>
        <v>29554764</v>
      </c>
      <c r="E50" s="15">
        <v>2252076</v>
      </c>
      <c r="F50" s="16">
        <v>1782</v>
      </c>
      <c r="G50" s="15">
        <v>181</v>
      </c>
    </row>
    <row r="51" spans="1:7" ht="12.75">
      <c r="A51" s="22">
        <f t="shared" si="1"/>
        <v>41993</v>
      </c>
      <c r="B51" s="15">
        <v>36299558.96</v>
      </c>
      <c r="C51" s="15">
        <v>405909.96</v>
      </c>
      <c r="D51" s="15">
        <f t="shared" si="0"/>
        <v>33350606</v>
      </c>
      <c r="E51" s="15">
        <v>2543043</v>
      </c>
      <c r="F51" s="16">
        <v>1782</v>
      </c>
      <c r="G51" s="15">
        <v>204</v>
      </c>
    </row>
    <row r="52" spans="1:7" ht="12.75">
      <c r="A52" s="22">
        <f t="shared" si="1"/>
        <v>42000</v>
      </c>
      <c r="B52" s="15">
        <v>40907597.4</v>
      </c>
      <c r="C52" s="15">
        <v>389985.4</v>
      </c>
      <c r="D52" s="15">
        <f t="shared" si="0"/>
        <v>37432079</v>
      </c>
      <c r="E52" s="15">
        <v>3085533</v>
      </c>
      <c r="F52" s="16">
        <v>1782</v>
      </c>
      <c r="G52" s="15">
        <v>247</v>
      </c>
    </row>
    <row r="53" spans="1:7" ht="12.75">
      <c r="A53" s="22">
        <f t="shared" si="1"/>
        <v>42007</v>
      </c>
      <c r="B53" s="15">
        <v>47338104.98</v>
      </c>
      <c r="C53" s="15">
        <v>463133.98</v>
      </c>
      <c r="D53" s="15">
        <f t="shared" si="0"/>
        <v>43388254</v>
      </c>
      <c r="E53" s="15">
        <v>3486717</v>
      </c>
      <c r="F53" s="16">
        <v>1782</v>
      </c>
      <c r="G53" s="15">
        <v>280</v>
      </c>
    </row>
    <row r="54" spans="1:7" ht="12.75">
      <c r="A54" s="22">
        <f t="shared" si="1"/>
        <v>42014</v>
      </c>
      <c r="B54" s="15">
        <v>32821280.9</v>
      </c>
      <c r="C54" s="15">
        <v>372407.9</v>
      </c>
      <c r="D54" s="15">
        <f t="shared" si="0"/>
        <v>30183944</v>
      </c>
      <c r="E54" s="15">
        <v>2264929</v>
      </c>
      <c r="F54" s="16">
        <v>1782</v>
      </c>
      <c r="G54" s="15">
        <v>182</v>
      </c>
    </row>
    <row r="55" spans="1:7" ht="12.75">
      <c r="A55" s="22">
        <f t="shared" si="1"/>
        <v>42021</v>
      </c>
      <c r="B55" s="15">
        <v>35628260</v>
      </c>
      <c r="C55" s="15">
        <f>367735-72988</f>
        <v>294747</v>
      </c>
      <c r="D55" s="15">
        <f t="shared" si="0"/>
        <v>32665869</v>
      </c>
      <c r="E55" s="15">
        <v>2667644</v>
      </c>
      <c r="F55" s="16">
        <v>1782</v>
      </c>
      <c r="G55" s="15">
        <v>214</v>
      </c>
    </row>
    <row r="56" spans="1:7" ht="12.75">
      <c r="A56" s="22">
        <f t="shared" si="1"/>
        <v>42028</v>
      </c>
      <c r="B56" s="15">
        <v>36575150.27</v>
      </c>
      <c r="C56" s="15">
        <v>400169.27</v>
      </c>
      <c r="D56" s="15">
        <f t="shared" si="0"/>
        <v>33612947</v>
      </c>
      <c r="E56" s="15">
        <v>2562034</v>
      </c>
      <c r="F56" s="16">
        <v>1782</v>
      </c>
      <c r="G56" s="15">
        <v>205</v>
      </c>
    </row>
    <row r="57" spans="1:7" ht="12.75">
      <c r="A57" s="22">
        <f t="shared" si="1"/>
        <v>42035</v>
      </c>
      <c r="B57" s="15">
        <v>35744207.52</v>
      </c>
      <c r="C57" s="15">
        <v>346880.52</v>
      </c>
      <c r="D57" s="15">
        <f t="shared" si="0"/>
        <v>32860809</v>
      </c>
      <c r="E57" s="15">
        <v>2536518</v>
      </c>
      <c r="F57" s="16">
        <v>1782</v>
      </c>
      <c r="G57" s="15">
        <v>203</v>
      </c>
    </row>
    <row r="58" spans="1:7" ht="12.75">
      <c r="A58" s="22">
        <f t="shared" si="1"/>
        <v>42042</v>
      </c>
      <c r="B58" s="15">
        <v>35456715.87</v>
      </c>
      <c r="C58" s="15">
        <v>311871.87</v>
      </c>
      <c r="D58" s="15">
        <f t="shared" si="0"/>
        <v>32560515</v>
      </c>
      <c r="E58" s="15">
        <v>2584329</v>
      </c>
      <c r="F58" s="16">
        <v>1782</v>
      </c>
      <c r="G58" s="15">
        <v>207</v>
      </c>
    </row>
    <row r="59" spans="1:7" ht="12.75">
      <c r="A59" s="22">
        <f t="shared" si="1"/>
        <v>42049</v>
      </c>
      <c r="B59" s="15">
        <v>34867850.87</v>
      </c>
      <c r="C59" s="15">
        <f>370180.87-47925</f>
        <v>322255.87</v>
      </c>
      <c r="D59" s="15">
        <f t="shared" si="0"/>
        <v>32039421</v>
      </c>
      <c r="E59" s="15">
        <v>2506174</v>
      </c>
      <c r="F59" s="16">
        <v>1782</v>
      </c>
      <c r="G59" s="15">
        <v>201</v>
      </c>
    </row>
    <row r="60" spans="1:7" ht="12.75">
      <c r="A60" s="22">
        <f t="shared" si="1"/>
        <v>42056</v>
      </c>
      <c r="B60" s="15">
        <v>39870452.09</v>
      </c>
      <c r="C60" s="15">
        <v>381689.09</v>
      </c>
      <c r="D60" s="15">
        <f t="shared" si="0"/>
        <v>36532833</v>
      </c>
      <c r="E60" s="15">
        <v>2955930</v>
      </c>
      <c r="F60" s="16">
        <v>1782</v>
      </c>
      <c r="G60" s="15">
        <v>237</v>
      </c>
    </row>
    <row r="61" spans="1:7" ht="12.75">
      <c r="A61" s="22">
        <f t="shared" si="1"/>
        <v>42063</v>
      </c>
      <c r="B61" s="15">
        <v>49004284.19</v>
      </c>
      <c r="C61" s="15">
        <v>408022.19</v>
      </c>
      <c r="D61" s="15">
        <f t="shared" si="0"/>
        <v>45024637</v>
      </c>
      <c r="E61" s="15">
        <v>3571625</v>
      </c>
      <c r="F61" s="16">
        <v>1782</v>
      </c>
      <c r="G61" s="15">
        <v>286</v>
      </c>
    </row>
    <row r="62" spans="1:7" ht="12.75">
      <c r="A62" s="22">
        <f t="shared" si="1"/>
        <v>42070</v>
      </c>
      <c r="B62" s="15">
        <v>44715867</v>
      </c>
      <c r="C62" s="15">
        <f>365558.76-46793</f>
        <v>318765.76</v>
      </c>
      <c r="D62" s="15">
        <f t="shared" si="0"/>
        <v>41264783.24</v>
      </c>
      <c r="E62" s="15">
        <v>3132318</v>
      </c>
      <c r="F62" s="16">
        <v>1782</v>
      </c>
      <c r="G62" s="15">
        <v>251</v>
      </c>
    </row>
    <row r="63" spans="1:7" ht="12.75">
      <c r="A63" s="22">
        <f t="shared" si="1"/>
        <v>42077</v>
      </c>
      <c r="B63" s="15">
        <v>45823208</v>
      </c>
      <c r="C63" s="15">
        <v>464030.59</v>
      </c>
      <c r="D63" s="15">
        <f t="shared" si="0"/>
        <v>42042869.41</v>
      </c>
      <c r="E63" s="15">
        <v>3316308</v>
      </c>
      <c r="F63" s="16">
        <v>1782</v>
      </c>
      <c r="G63" s="15">
        <v>266</v>
      </c>
    </row>
    <row r="64" spans="1:7" ht="12.75">
      <c r="A64" s="22">
        <f t="shared" si="1"/>
        <v>42084</v>
      </c>
      <c r="B64" s="15">
        <v>44735666</v>
      </c>
      <c r="C64" s="15">
        <v>374922.25</v>
      </c>
      <c r="D64" s="15">
        <f t="shared" si="0"/>
        <v>41188901.75</v>
      </c>
      <c r="E64" s="15">
        <v>3171842</v>
      </c>
      <c r="F64" s="16">
        <v>1782</v>
      </c>
      <c r="G64" s="15">
        <v>254</v>
      </c>
    </row>
    <row r="65" ht="12.75">
      <c r="A65" s="22"/>
    </row>
    <row r="66" spans="1:7" ht="13.5" thickBot="1">
      <c r="A66" s="3" t="s">
        <v>8</v>
      </c>
      <c r="B66" s="17">
        <f>SUM(B13:B64)</f>
        <v>2155681737.51</v>
      </c>
      <c r="C66" s="17">
        <f>SUM(C13:C64)</f>
        <v>18560770.110000007</v>
      </c>
      <c r="D66" s="17">
        <f>SUM(D13:D64)</f>
        <v>1978836308.4</v>
      </c>
      <c r="E66" s="17">
        <f>SUM(E13:E64)</f>
        <v>158284659</v>
      </c>
      <c r="F66" s="24">
        <f>SUM(F13:F65)/COUNT(F13:F65)</f>
        <v>1782</v>
      </c>
      <c r="G66" s="17">
        <f>+E66/SUM(F13:F65)/7</f>
        <v>244.02242664742667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12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26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44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29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41215747.23</v>
      </c>
      <c r="C13" s="15">
        <v>396036.23</v>
      </c>
      <c r="D13" s="15">
        <f aca="true" t="shared" si="0" ref="D13:D43">+B13-C13-E13</f>
        <v>37645235</v>
      </c>
      <c r="E13" s="15">
        <v>3174476</v>
      </c>
      <c r="F13" s="16">
        <v>1782</v>
      </c>
      <c r="G13" s="15">
        <v>254</v>
      </c>
    </row>
    <row r="14" spans="1:7" ht="12.75">
      <c r="A14" s="22">
        <f aca="true" t="shared" si="1" ref="A14:A64">+A13+7</f>
        <v>41370</v>
      </c>
      <c r="B14" s="15">
        <v>46478822.26</v>
      </c>
      <c r="C14" s="15">
        <v>442564.26</v>
      </c>
      <c r="D14" s="15">
        <f t="shared" si="0"/>
        <v>42673249</v>
      </c>
      <c r="E14" s="15">
        <v>3363009</v>
      </c>
      <c r="F14" s="16">
        <v>1782</v>
      </c>
      <c r="G14" s="15">
        <v>270</v>
      </c>
    </row>
    <row r="15" spans="1:7" ht="12.75">
      <c r="A15" s="22">
        <f t="shared" si="1"/>
        <v>41377</v>
      </c>
      <c r="B15" s="15">
        <v>41513729.71</v>
      </c>
      <c r="C15" s="15">
        <v>351922.71</v>
      </c>
      <c r="D15" s="15">
        <f t="shared" si="0"/>
        <v>38061153</v>
      </c>
      <c r="E15" s="15">
        <v>3100654</v>
      </c>
      <c r="F15" s="16">
        <v>1782</v>
      </c>
      <c r="G15" s="15">
        <v>249</v>
      </c>
    </row>
    <row r="16" spans="1:7" ht="12.75">
      <c r="A16" s="22">
        <f t="shared" si="1"/>
        <v>41384</v>
      </c>
      <c r="B16" s="15">
        <v>41970121.59</v>
      </c>
      <c r="C16" s="15">
        <v>430918.59</v>
      </c>
      <c r="D16" s="15">
        <f t="shared" si="0"/>
        <v>38379330</v>
      </c>
      <c r="E16" s="15">
        <v>3159873</v>
      </c>
      <c r="F16" s="16">
        <v>1782</v>
      </c>
      <c r="G16" s="15">
        <v>253</v>
      </c>
    </row>
    <row r="17" spans="1:7" ht="12.75">
      <c r="A17" s="22">
        <f t="shared" si="1"/>
        <v>41391</v>
      </c>
      <c r="B17" s="15">
        <v>41747347.72</v>
      </c>
      <c r="C17" s="15">
        <v>397740.72</v>
      </c>
      <c r="D17" s="15">
        <f t="shared" si="0"/>
        <v>38158823</v>
      </c>
      <c r="E17" s="15">
        <v>3190784</v>
      </c>
      <c r="F17" s="16">
        <v>1782</v>
      </c>
      <c r="G17" s="15">
        <v>256</v>
      </c>
    </row>
    <row r="18" spans="1:7" ht="12.75">
      <c r="A18" s="22">
        <f t="shared" si="1"/>
        <v>41398</v>
      </c>
      <c r="B18" s="15">
        <v>39740445.32</v>
      </c>
      <c r="C18" s="15">
        <v>400180.32</v>
      </c>
      <c r="D18" s="15">
        <f t="shared" si="0"/>
        <v>36414848</v>
      </c>
      <c r="E18" s="15">
        <v>2925417</v>
      </c>
      <c r="F18" s="16">
        <v>1782</v>
      </c>
      <c r="G18" s="15">
        <v>235</v>
      </c>
    </row>
    <row r="19" spans="1:7" ht="12.75">
      <c r="A19" s="22">
        <f t="shared" si="1"/>
        <v>41405</v>
      </c>
      <c r="B19" s="15">
        <v>41286507.15</v>
      </c>
      <c r="C19" s="15">
        <v>307271.15</v>
      </c>
      <c r="D19" s="15">
        <f t="shared" si="0"/>
        <v>37776893</v>
      </c>
      <c r="E19" s="15">
        <v>3202343</v>
      </c>
      <c r="F19" s="16">
        <v>1782</v>
      </c>
      <c r="G19" s="15">
        <v>257</v>
      </c>
    </row>
    <row r="20" spans="1:7" ht="12.75">
      <c r="A20" s="22">
        <f t="shared" si="1"/>
        <v>41412</v>
      </c>
      <c r="B20" s="15">
        <v>42204800.34</v>
      </c>
      <c r="C20" s="15">
        <v>378640.34</v>
      </c>
      <c r="D20" s="15">
        <f t="shared" si="0"/>
        <v>38619841</v>
      </c>
      <c r="E20" s="15">
        <v>3206319</v>
      </c>
      <c r="F20" s="16">
        <v>1782</v>
      </c>
      <c r="G20" s="15">
        <v>257</v>
      </c>
    </row>
    <row r="21" spans="1:7" ht="12.75">
      <c r="A21" s="22">
        <f t="shared" si="1"/>
        <v>41419</v>
      </c>
      <c r="B21" s="15">
        <v>45896009.63</v>
      </c>
      <c r="C21" s="15">
        <v>412256.63</v>
      </c>
      <c r="D21" s="15">
        <f t="shared" si="0"/>
        <v>41997769</v>
      </c>
      <c r="E21" s="15">
        <v>3485984</v>
      </c>
      <c r="F21" s="16">
        <v>1762.7142857142858</v>
      </c>
      <c r="G21" s="15">
        <v>283</v>
      </c>
    </row>
    <row r="22" spans="1:7" ht="12.75">
      <c r="A22" s="22">
        <f t="shared" si="1"/>
        <v>41426</v>
      </c>
      <c r="B22" s="15">
        <v>42134048.04</v>
      </c>
      <c r="C22" s="15">
        <v>373378.04</v>
      </c>
      <c r="D22" s="15">
        <f t="shared" si="0"/>
        <v>38550459</v>
      </c>
      <c r="E22" s="15">
        <v>3210211</v>
      </c>
      <c r="F22" s="16">
        <v>1782</v>
      </c>
      <c r="G22" s="15">
        <v>257</v>
      </c>
    </row>
    <row r="23" spans="1:7" ht="12.75">
      <c r="A23" s="22">
        <f t="shared" si="1"/>
        <v>41433</v>
      </c>
      <c r="B23" s="15">
        <v>43900852.13</v>
      </c>
      <c r="C23" s="15">
        <v>279046.13</v>
      </c>
      <c r="D23" s="15">
        <f t="shared" si="0"/>
        <v>40146916</v>
      </c>
      <c r="E23" s="15">
        <v>3474890</v>
      </c>
      <c r="F23" s="16">
        <v>1782</v>
      </c>
      <c r="G23" s="15">
        <v>279</v>
      </c>
    </row>
    <row r="24" spans="1:7" ht="12.75">
      <c r="A24" s="22">
        <f t="shared" si="1"/>
        <v>41440</v>
      </c>
      <c r="B24" s="15">
        <v>40139439.1</v>
      </c>
      <c r="C24" s="15">
        <v>365335.1</v>
      </c>
      <c r="D24" s="15">
        <f t="shared" si="0"/>
        <v>36599985</v>
      </c>
      <c r="E24" s="15">
        <v>3174119</v>
      </c>
      <c r="F24" s="16">
        <v>1782</v>
      </c>
      <c r="G24" s="15">
        <v>254</v>
      </c>
    </row>
    <row r="25" spans="1:7" ht="12.75">
      <c r="A25" s="22">
        <f t="shared" si="1"/>
        <v>41447</v>
      </c>
      <c r="B25" s="15">
        <v>40515287.66</v>
      </c>
      <c r="C25" s="15">
        <v>348967.66</v>
      </c>
      <c r="D25" s="15">
        <f t="shared" si="0"/>
        <v>37060362</v>
      </c>
      <c r="E25" s="15">
        <v>3105958</v>
      </c>
      <c r="F25" s="16">
        <v>1782</v>
      </c>
      <c r="G25" s="15">
        <v>249</v>
      </c>
    </row>
    <row r="26" spans="1:7" ht="12.75">
      <c r="A26" s="22">
        <f t="shared" si="1"/>
        <v>41454</v>
      </c>
      <c r="B26" s="15">
        <v>41840278.44</v>
      </c>
      <c r="C26" s="15">
        <v>363079.44</v>
      </c>
      <c r="D26" s="15">
        <f t="shared" si="0"/>
        <v>38377392</v>
      </c>
      <c r="E26" s="15">
        <v>3099807</v>
      </c>
      <c r="F26" s="16">
        <v>1782</v>
      </c>
      <c r="G26" s="15">
        <v>249</v>
      </c>
    </row>
    <row r="27" spans="1:7" ht="12.75">
      <c r="A27" s="22">
        <f t="shared" si="1"/>
        <v>41461</v>
      </c>
      <c r="B27" s="15">
        <v>47065954.62</v>
      </c>
      <c r="C27" s="15">
        <v>385852.62</v>
      </c>
      <c r="D27" s="15">
        <f t="shared" si="0"/>
        <v>43059637</v>
      </c>
      <c r="E27" s="15">
        <v>3620465</v>
      </c>
      <c r="F27" s="16">
        <v>1782</v>
      </c>
      <c r="G27" s="15">
        <v>290</v>
      </c>
    </row>
    <row r="28" spans="1:7" ht="12.75">
      <c r="A28" s="22">
        <f t="shared" si="1"/>
        <v>41468</v>
      </c>
      <c r="B28" s="15">
        <v>39847359.62</v>
      </c>
      <c r="C28" s="15">
        <v>257730.62</v>
      </c>
      <c r="D28" s="15">
        <f t="shared" si="0"/>
        <v>36517345</v>
      </c>
      <c r="E28" s="15">
        <v>3072284</v>
      </c>
      <c r="F28" s="16">
        <v>1782</v>
      </c>
      <c r="G28" s="15">
        <v>246</v>
      </c>
    </row>
    <row r="29" spans="1:7" ht="12.75">
      <c r="A29" s="22">
        <f t="shared" si="1"/>
        <v>41475</v>
      </c>
      <c r="B29" s="15">
        <v>39712314.71</v>
      </c>
      <c r="C29" s="15">
        <v>309370.71</v>
      </c>
      <c r="D29" s="15">
        <f t="shared" si="0"/>
        <v>36531997</v>
      </c>
      <c r="E29" s="15">
        <v>2870947</v>
      </c>
      <c r="F29" s="16">
        <v>1782</v>
      </c>
      <c r="G29" s="15">
        <v>230</v>
      </c>
    </row>
    <row r="30" spans="1:7" ht="12.75">
      <c r="A30" s="22">
        <f t="shared" si="1"/>
        <v>41482</v>
      </c>
      <c r="B30" s="15">
        <v>44259087.54</v>
      </c>
      <c r="C30" s="15">
        <v>371445.54</v>
      </c>
      <c r="D30" s="15">
        <f t="shared" si="0"/>
        <v>40537696</v>
      </c>
      <c r="E30" s="15">
        <v>3349946</v>
      </c>
      <c r="F30" s="16">
        <v>1782</v>
      </c>
      <c r="G30" s="15">
        <v>269</v>
      </c>
    </row>
    <row r="31" spans="1:7" ht="12.75">
      <c r="A31" s="22">
        <f t="shared" si="1"/>
        <v>41489</v>
      </c>
      <c r="B31" s="15">
        <v>46902660.81</v>
      </c>
      <c r="C31" s="15">
        <v>406228.81</v>
      </c>
      <c r="D31" s="15">
        <f t="shared" si="0"/>
        <v>43033050</v>
      </c>
      <c r="E31" s="15">
        <v>3463382</v>
      </c>
      <c r="F31" s="16">
        <v>1782</v>
      </c>
      <c r="G31" s="15">
        <v>278</v>
      </c>
    </row>
    <row r="32" spans="1:7" ht="12.75">
      <c r="A32" s="22">
        <f t="shared" si="1"/>
        <v>41496</v>
      </c>
      <c r="B32" s="15">
        <v>46364026.53</v>
      </c>
      <c r="C32" s="15">
        <v>324386.53</v>
      </c>
      <c r="D32" s="15">
        <f t="shared" si="0"/>
        <v>42506258</v>
      </c>
      <c r="E32" s="15">
        <v>3533382</v>
      </c>
      <c r="F32" s="16">
        <v>1782</v>
      </c>
      <c r="G32" s="15">
        <v>283</v>
      </c>
    </row>
    <row r="33" spans="1:7" ht="12.75">
      <c r="A33" s="22">
        <f t="shared" si="1"/>
        <v>41503</v>
      </c>
      <c r="B33" s="15">
        <v>45613711.31</v>
      </c>
      <c r="C33" s="15">
        <v>365133.31</v>
      </c>
      <c r="D33" s="15">
        <f t="shared" si="0"/>
        <v>41738806</v>
      </c>
      <c r="E33" s="15">
        <v>3509772</v>
      </c>
      <c r="F33" s="16">
        <v>1782</v>
      </c>
      <c r="G33" s="15">
        <v>281</v>
      </c>
    </row>
    <row r="34" spans="1:7" ht="12.75">
      <c r="A34" s="22">
        <f t="shared" si="1"/>
        <v>41510</v>
      </c>
      <c r="B34" s="15">
        <v>44012795.63</v>
      </c>
      <c r="C34" s="15">
        <v>419005.63</v>
      </c>
      <c r="D34" s="15">
        <f t="shared" si="0"/>
        <v>40280778</v>
      </c>
      <c r="E34" s="15">
        <v>3313012</v>
      </c>
      <c r="F34" s="16">
        <v>1782</v>
      </c>
      <c r="G34" s="15">
        <v>266</v>
      </c>
    </row>
    <row r="35" spans="1:7" ht="12.75">
      <c r="A35" s="22">
        <f t="shared" si="1"/>
        <v>41517</v>
      </c>
      <c r="B35" s="15">
        <v>50441416.9</v>
      </c>
      <c r="C35" s="15">
        <v>406717.9</v>
      </c>
      <c r="D35" s="15">
        <f t="shared" si="0"/>
        <v>46140147</v>
      </c>
      <c r="E35" s="15">
        <v>3894552</v>
      </c>
      <c r="F35" s="16">
        <v>1782</v>
      </c>
      <c r="G35" s="15">
        <v>312</v>
      </c>
    </row>
    <row r="36" spans="1:7" ht="12.75">
      <c r="A36" s="22">
        <f t="shared" si="1"/>
        <v>41524</v>
      </c>
      <c r="B36" s="15">
        <v>43011306.13</v>
      </c>
      <c r="C36" s="15">
        <v>345806.13</v>
      </c>
      <c r="D36" s="15">
        <f t="shared" si="0"/>
        <v>39297220</v>
      </c>
      <c r="E36" s="15">
        <v>3368280</v>
      </c>
      <c r="F36" s="16">
        <v>1782</v>
      </c>
      <c r="G36" s="15">
        <v>270</v>
      </c>
    </row>
    <row r="37" spans="1:7" ht="12.75">
      <c r="A37" s="22">
        <f t="shared" si="1"/>
        <v>41531</v>
      </c>
      <c r="B37" s="15">
        <v>38944355.12</v>
      </c>
      <c r="C37" s="15">
        <f>346457.12-45255</f>
        <v>301202.12</v>
      </c>
      <c r="D37" s="15">
        <f t="shared" si="0"/>
        <v>35623379</v>
      </c>
      <c r="E37" s="15">
        <v>3019774</v>
      </c>
      <c r="F37" s="16">
        <v>1782</v>
      </c>
      <c r="G37" s="15">
        <v>242</v>
      </c>
    </row>
    <row r="38" spans="1:7" ht="12.75">
      <c r="A38" s="22">
        <f t="shared" si="1"/>
        <v>41538</v>
      </c>
      <c r="B38" s="15">
        <v>37715928.28</v>
      </c>
      <c r="C38" s="15">
        <v>330280.28</v>
      </c>
      <c r="D38" s="15">
        <f t="shared" si="0"/>
        <v>34554761</v>
      </c>
      <c r="E38" s="15">
        <v>2830887</v>
      </c>
      <c r="F38" s="16">
        <v>1782</v>
      </c>
      <c r="G38" s="15">
        <v>227</v>
      </c>
    </row>
    <row r="39" spans="1:7" ht="12.75">
      <c r="A39" s="22">
        <f t="shared" si="1"/>
        <v>41545</v>
      </c>
      <c r="B39" s="15">
        <v>38480498.76</v>
      </c>
      <c r="C39" s="15">
        <f>318518.76-48036</f>
        <v>270482.76</v>
      </c>
      <c r="D39" s="15">
        <f t="shared" si="0"/>
        <v>35334009</v>
      </c>
      <c r="E39" s="15">
        <v>2876007</v>
      </c>
      <c r="F39" s="16">
        <v>1782</v>
      </c>
      <c r="G39" s="15">
        <v>231</v>
      </c>
    </row>
    <row r="40" spans="1:7" ht="12.75">
      <c r="A40" s="22">
        <f t="shared" si="1"/>
        <v>41552</v>
      </c>
      <c r="B40" s="15">
        <v>40374035.86</v>
      </c>
      <c r="C40" s="15">
        <v>266622.86</v>
      </c>
      <c r="D40" s="15">
        <f t="shared" si="0"/>
        <v>36953486</v>
      </c>
      <c r="E40" s="15">
        <v>3153927</v>
      </c>
      <c r="F40" s="16">
        <v>1782</v>
      </c>
      <c r="G40" s="15">
        <v>253</v>
      </c>
    </row>
    <row r="41" spans="1:7" ht="12.75">
      <c r="A41" s="22">
        <f t="shared" si="1"/>
        <v>41559</v>
      </c>
      <c r="B41" s="15">
        <v>38970760.5</v>
      </c>
      <c r="C41" s="15">
        <v>300273.5</v>
      </c>
      <c r="D41" s="15">
        <f t="shared" si="0"/>
        <v>35730902</v>
      </c>
      <c r="E41" s="15">
        <v>2939585</v>
      </c>
      <c r="F41" s="16">
        <v>1782</v>
      </c>
      <c r="G41" s="15">
        <v>236</v>
      </c>
    </row>
    <row r="42" spans="1:7" ht="12.75">
      <c r="A42" s="22">
        <f t="shared" si="1"/>
        <v>41566</v>
      </c>
      <c r="B42" s="15">
        <v>38034774.86</v>
      </c>
      <c r="C42" s="15">
        <v>272393.86</v>
      </c>
      <c r="D42" s="15">
        <f t="shared" si="0"/>
        <v>34733807</v>
      </c>
      <c r="E42" s="15">
        <v>3028574</v>
      </c>
      <c r="F42" s="16">
        <v>1782</v>
      </c>
      <c r="G42" s="15">
        <v>243</v>
      </c>
    </row>
    <row r="43" spans="1:7" ht="12.75">
      <c r="A43" s="22">
        <f t="shared" si="1"/>
        <v>41573</v>
      </c>
      <c r="B43" s="15">
        <v>37622742.11</v>
      </c>
      <c r="C43" s="15">
        <f>291607.11-863614</f>
        <v>-572006.89</v>
      </c>
      <c r="D43" s="15">
        <f t="shared" si="0"/>
        <v>34604096</v>
      </c>
      <c r="E43" s="15">
        <v>3590653</v>
      </c>
      <c r="F43" s="16">
        <v>1782</v>
      </c>
      <c r="G43" s="15">
        <v>288</v>
      </c>
    </row>
    <row r="44" spans="1:7" ht="12.75">
      <c r="A44" s="22">
        <f t="shared" si="1"/>
        <v>41580</v>
      </c>
      <c r="B44" s="15">
        <v>38871622.04</v>
      </c>
      <c r="C44" s="15">
        <v>220221.04</v>
      </c>
      <c r="D44" s="15">
        <f aca="true" t="shared" si="2" ref="D44:D64">+B44-C44-E44</f>
        <v>35725728</v>
      </c>
      <c r="E44" s="15">
        <v>2925673</v>
      </c>
      <c r="F44" s="16">
        <f>12474/7</f>
        <v>1782</v>
      </c>
      <c r="G44" s="15">
        <v>235</v>
      </c>
    </row>
    <row r="45" spans="1:7" ht="12.75">
      <c r="A45" s="22">
        <f t="shared" si="1"/>
        <v>41587</v>
      </c>
      <c r="B45" s="15">
        <v>37029257.13</v>
      </c>
      <c r="C45" s="15">
        <v>253109.13</v>
      </c>
      <c r="D45" s="15">
        <f t="shared" si="2"/>
        <v>33850077</v>
      </c>
      <c r="E45" s="15">
        <v>2926071</v>
      </c>
      <c r="F45" s="16">
        <f>12474/7</f>
        <v>1782</v>
      </c>
      <c r="G45" s="15">
        <v>235</v>
      </c>
    </row>
    <row r="46" spans="1:7" ht="12.75">
      <c r="A46" s="22">
        <f t="shared" si="1"/>
        <v>41594</v>
      </c>
      <c r="B46" s="15">
        <v>36742794.08</v>
      </c>
      <c r="C46" s="15">
        <v>309496.08</v>
      </c>
      <c r="D46" s="15">
        <f t="shared" si="2"/>
        <v>33785474</v>
      </c>
      <c r="E46" s="15">
        <v>2647824</v>
      </c>
      <c r="F46" s="16">
        <v>1782</v>
      </c>
      <c r="G46" s="15">
        <v>212</v>
      </c>
    </row>
    <row r="47" spans="1:7" ht="12.75">
      <c r="A47" s="22">
        <f t="shared" si="1"/>
        <v>41601</v>
      </c>
      <c r="B47" s="15">
        <v>33804116.59</v>
      </c>
      <c r="C47" s="15">
        <v>260764.59</v>
      </c>
      <c r="D47" s="15">
        <f t="shared" si="2"/>
        <v>30918841.000000004</v>
      </c>
      <c r="E47" s="15">
        <v>2624511</v>
      </c>
      <c r="F47" s="16">
        <v>1782</v>
      </c>
      <c r="G47" s="15">
        <v>210</v>
      </c>
    </row>
    <row r="48" spans="1:7" ht="12.75">
      <c r="A48" s="22">
        <f t="shared" si="1"/>
        <v>41608</v>
      </c>
      <c r="B48" s="15">
        <v>33122130.77</v>
      </c>
      <c r="C48" s="15">
        <v>223838.77</v>
      </c>
      <c r="D48" s="15">
        <f t="shared" si="2"/>
        <v>30286499</v>
      </c>
      <c r="E48" s="15">
        <v>2611793</v>
      </c>
      <c r="F48" s="16">
        <v>1782</v>
      </c>
      <c r="G48" s="15">
        <v>209</v>
      </c>
    </row>
    <row r="49" spans="1:7" ht="12.75">
      <c r="A49" s="22">
        <f t="shared" si="1"/>
        <v>41615</v>
      </c>
      <c r="B49" s="15">
        <v>32744672.38</v>
      </c>
      <c r="C49" s="15">
        <f>226636.38-40703</f>
        <v>185933.38</v>
      </c>
      <c r="D49" s="15">
        <f t="shared" si="2"/>
        <v>29949221</v>
      </c>
      <c r="E49" s="15">
        <v>2609518</v>
      </c>
      <c r="F49" s="16">
        <v>1782</v>
      </c>
      <c r="G49" s="15">
        <v>209</v>
      </c>
    </row>
    <row r="50" spans="1:7" ht="12.75">
      <c r="A50" s="22">
        <f t="shared" si="1"/>
        <v>41622</v>
      </c>
      <c r="B50" s="15">
        <v>27559920.16</v>
      </c>
      <c r="C50" s="15">
        <v>212624.16</v>
      </c>
      <c r="D50" s="15">
        <f t="shared" si="2"/>
        <v>25292607</v>
      </c>
      <c r="E50" s="15">
        <v>2054689</v>
      </c>
      <c r="F50" s="16">
        <v>1782</v>
      </c>
      <c r="G50" s="15">
        <v>165</v>
      </c>
    </row>
    <row r="51" spans="1:7" ht="12.75">
      <c r="A51" s="22">
        <f t="shared" si="1"/>
        <v>41629</v>
      </c>
      <c r="B51" s="15">
        <v>29036602.9</v>
      </c>
      <c r="C51" s="15">
        <v>200982.9</v>
      </c>
      <c r="D51" s="15">
        <f t="shared" si="2"/>
        <v>26673186</v>
      </c>
      <c r="E51" s="15">
        <v>2162434</v>
      </c>
      <c r="F51" s="16">
        <v>1782</v>
      </c>
      <c r="G51" s="15">
        <v>173</v>
      </c>
    </row>
    <row r="52" spans="1:7" ht="12.75">
      <c r="A52" s="22">
        <f t="shared" si="1"/>
        <v>41636</v>
      </c>
      <c r="B52" s="15">
        <v>36435552.65</v>
      </c>
      <c r="C52" s="15">
        <f>248652.65-43390</f>
        <v>205262.65</v>
      </c>
      <c r="D52" s="15">
        <f t="shared" si="2"/>
        <v>33334190</v>
      </c>
      <c r="E52" s="15">
        <v>2896100</v>
      </c>
      <c r="F52" s="16">
        <v>1782</v>
      </c>
      <c r="G52" s="15">
        <v>232</v>
      </c>
    </row>
    <row r="53" spans="1:7" ht="12.75">
      <c r="A53" s="22">
        <f t="shared" si="1"/>
        <v>41643</v>
      </c>
      <c r="B53" s="15">
        <v>36050842.23</v>
      </c>
      <c r="C53" s="15">
        <v>234090.23</v>
      </c>
      <c r="D53" s="15">
        <f t="shared" si="2"/>
        <v>32982494</v>
      </c>
      <c r="E53" s="15">
        <v>2834258</v>
      </c>
      <c r="F53" s="16">
        <v>1782</v>
      </c>
      <c r="G53" s="15">
        <v>227</v>
      </c>
    </row>
    <row r="54" spans="1:7" ht="12.75">
      <c r="A54" s="22">
        <f t="shared" si="1"/>
        <v>41650</v>
      </c>
      <c r="B54" s="15">
        <v>33066337.02</v>
      </c>
      <c r="C54" s="15">
        <v>300474.02</v>
      </c>
      <c r="D54" s="15">
        <f t="shared" si="2"/>
        <v>30282776</v>
      </c>
      <c r="E54" s="15">
        <v>2483087</v>
      </c>
      <c r="F54" s="16">
        <v>1782</v>
      </c>
      <c r="G54" s="15">
        <v>199</v>
      </c>
    </row>
    <row r="55" spans="1:7" ht="12.75">
      <c r="A55" s="22">
        <f t="shared" si="1"/>
        <v>41657</v>
      </c>
      <c r="B55" s="15">
        <v>36425285.38</v>
      </c>
      <c r="C55" s="15">
        <v>277016.38</v>
      </c>
      <c r="D55" s="15">
        <f t="shared" si="2"/>
        <v>33418641</v>
      </c>
      <c r="E55" s="15">
        <v>2729628</v>
      </c>
      <c r="F55" s="16">
        <v>1782</v>
      </c>
      <c r="G55" s="15">
        <v>219</v>
      </c>
    </row>
    <row r="56" spans="1:7" ht="12.75">
      <c r="A56" s="22">
        <f t="shared" si="1"/>
        <v>41664</v>
      </c>
      <c r="B56" s="15">
        <v>31842610.62</v>
      </c>
      <c r="C56" s="15">
        <v>267861.62</v>
      </c>
      <c r="D56" s="15">
        <f t="shared" si="2"/>
        <v>29206406</v>
      </c>
      <c r="E56" s="15">
        <v>2368343</v>
      </c>
      <c r="F56" s="16">
        <v>1782</v>
      </c>
      <c r="G56" s="15">
        <v>190</v>
      </c>
    </row>
    <row r="57" spans="1:7" ht="12.75">
      <c r="A57" s="22">
        <f t="shared" si="1"/>
        <v>41671</v>
      </c>
      <c r="B57" s="15">
        <v>37752550.44</v>
      </c>
      <c r="C57" s="15">
        <f>272459.44-45435</f>
        <v>227024.44</v>
      </c>
      <c r="D57" s="15">
        <f t="shared" si="2"/>
        <v>34543590</v>
      </c>
      <c r="E57" s="15">
        <v>2981936</v>
      </c>
      <c r="F57" s="16">
        <v>1782</v>
      </c>
      <c r="G57" s="15">
        <v>239</v>
      </c>
    </row>
    <row r="58" spans="1:7" ht="12.75">
      <c r="A58" s="22">
        <f t="shared" si="1"/>
        <v>41678</v>
      </c>
      <c r="B58" s="15">
        <v>35048691.86</v>
      </c>
      <c r="C58" s="15">
        <v>254024.86</v>
      </c>
      <c r="D58" s="15">
        <f t="shared" si="2"/>
        <v>32197692</v>
      </c>
      <c r="E58" s="15">
        <v>2596975</v>
      </c>
      <c r="F58" s="16">
        <v>1782</v>
      </c>
      <c r="G58" s="15">
        <v>208</v>
      </c>
    </row>
    <row r="59" spans="1:7" ht="12.75">
      <c r="A59" s="22">
        <f t="shared" si="1"/>
        <v>41685</v>
      </c>
      <c r="B59" s="15">
        <v>35055462.56</v>
      </c>
      <c r="C59" s="15">
        <v>309813.56</v>
      </c>
      <c r="D59" s="15">
        <f t="shared" si="2"/>
        <v>32061006</v>
      </c>
      <c r="E59" s="15">
        <v>2684643</v>
      </c>
      <c r="F59" s="16">
        <v>1782</v>
      </c>
      <c r="G59" s="15">
        <v>215</v>
      </c>
    </row>
    <row r="60" spans="1:7" ht="12.75">
      <c r="A60" s="22">
        <f t="shared" si="1"/>
        <v>41692</v>
      </c>
      <c r="B60" s="15">
        <v>39424213.36</v>
      </c>
      <c r="C60" s="15">
        <v>270610.36</v>
      </c>
      <c r="D60" s="15">
        <f t="shared" si="2"/>
        <v>36028917</v>
      </c>
      <c r="E60" s="15">
        <v>3124686</v>
      </c>
      <c r="F60" s="16">
        <v>1782</v>
      </c>
      <c r="G60" s="15">
        <v>250</v>
      </c>
    </row>
    <row r="61" spans="1:7" ht="12.75">
      <c r="A61" s="22">
        <f t="shared" si="1"/>
        <v>41699</v>
      </c>
      <c r="B61" s="15">
        <v>44671986.94</v>
      </c>
      <c r="C61" s="15">
        <f>326252.94-46805</f>
        <v>279447.94</v>
      </c>
      <c r="D61" s="15">
        <f t="shared" si="2"/>
        <v>40859834</v>
      </c>
      <c r="E61" s="15">
        <v>3532705</v>
      </c>
      <c r="F61" s="16">
        <v>1782</v>
      </c>
      <c r="G61" s="15">
        <v>283</v>
      </c>
    </row>
    <row r="62" spans="1:7" ht="12.75">
      <c r="A62" s="22">
        <f t="shared" si="1"/>
        <v>41706</v>
      </c>
      <c r="B62" s="15">
        <v>43671665.66</v>
      </c>
      <c r="C62" s="15">
        <v>344191.66</v>
      </c>
      <c r="D62" s="15">
        <f t="shared" si="2"/>
        <v>39932503</v>
      </c>
      <c r="E62" s="15">
        <v>3394971</v>
      </c>
      <c r="F62" s="16">
        <v>1782</v>
      </c>
      <c r="G62" s="15">
        <v>272</v>
      </c>
    </row>
    <row r="63" spans="1:7" ht="12.75">
      <c r="A63" s="22">
        <f t="shared" si="1"/>
        <v>41713</v>
      </c>
      <c r="B63" s="15">
        <v>38662500.04</v>
      </c>
      <c r="C63" s="15">
        <v>332624.04</v>
      </c>
      <c r="D63" s="15">
        <f t="shared" si="2"/>
        <v>35442833</v>
      </c>
      <c r="E63" s="15">
        <v>2887043</v>
      </c>
      <c r="F63" s="16">
        <v>1782</v>
      </c>
      <c r="G63" s="15">
        <v>231</v>
      </c>
    </row>
    <row r="64" spans="1:7" ht="12.75">
      <c r="A64" s="22">
        <f t="shared" si="1"/>
        <v>41720</v>
      </c>
      <c r="B64" s="15">
        <v>40536277.55</v>
      </c>
      <c r="C64" s="15">
        <v>331874.55</v>
      </c>
      <c r="D64" s="15">
        <f t="shared" si="2"/>
        <v>37209240</v>
      </c>
      <c r="E64" s="15">
        <v>2995163</v>
      </c>
      <c r="F64" s="16">
        <v>1782</v>
      </c>
      <c r="G64" s="15">
        <v>240</v>
      </c>
    </row>
    <row r="65" ht="12.75">
      <c r="A65" s="22"/>
    </row>
    <row r="66" spans="1:7" ht="13.5" thickBot="1">
      <c r="A66" s="3" t="s">
        <v>8</v>
      </c>
      <c r="B66" s="17">
        <f>SUM(B13:B64)</f>
        <v>2065512257.9699996</v>
      </c>
      <c r="C66" s="17">
        <f>SUM(C13:C64)</f>
        <v>15509549.969999997</v>
      </c>
      <c r="D66" s="17">
        <f>SUM(D13:D64)</f>
        <v>1891621384</v>
      </c>
      <c r="E66" s="17">
        <f>SUM(E13:E64)</f>
        <v>158381324</v>
      </c>
      <c r="F66" s="24">
        <f>SUM(F13:F65)/COUNT(F13:F65)</f>
        <v>1781.629120879121</v>
      </c>
      <c r="G66" s="17">
        <f>+E66/SUM(F13:F65)/7</f>
        <v>244.22228081780935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12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26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44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27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43910355.63</v>
      </c>
      <c r="C13" s="15">
        <v>387510.63</v>
      </c>
      <c r="D13" s="15">
        <f aca="true" t="shared" si="0" ref="D13:D64">+B13-C13-E13</f>
        <v>40128676</v>
      </c>
      <c r="E13" s="15">
        <v>3394169</v>
      </c>
      <c r="F13" s="16">
        <v>1778</v>
      </c>
      <c r="G13" s="15">
        <v>273</v>
      </c>
    </row>
    <row r="14" spans="1:7" ht="12.75">
      <c r="A14" s="22">
        <f aca="true" t="shared" si="1" ref="A14:A64">+A13+7</f>
        <v>41006</v>
      </c>
      <c r="B14" s="15">
        <v>42551480.52</v>
      </c>
      <c r="C14" s="15">
        <v>388443.52</v>
      </c>
      <c r="D14" s="15">
        <f t="shared" si="0"/>
        <v>39119809</v>
      </c>
      <c r="E14" s="15">
        <v>3043228</v>
      </c>
      <c r="F14" s="16">
        <v>1778</v>
      </c>
      <c r="G14" s="15">
        <v>245</v>
      </c>
    </row>
    <row r="15" spans="1:7" ht="12.75">
      <c r="A15" s="22">
        <f t="shared" si="1"/>
        <v>41013</v>
      </c>
      <c r="B15" s="15">
        <v>41315243.5</v>
      </c>
      <c r="C15" s="15">
        <v>329434.5</v>
      </c>
      <c r="D15" s="15">
        <f t="shared" si="0"/>
        <v>37775869</v>
      </c>
      <c r="E15" s="15">
        <v>3209940</v>
      </c>
      <c r="F15" s="16">
        <v>1778</v>
      </c>
      <c r="G15" s="15">
        <v>258</v>
      </c>
    </row>
    <row r="16" spans="1:7" ht="12.75">
      <c r="A16" s="22">
        <f t="shared" si="1"/>
        <v>41020</v>
      </c>
      <c r="B16" s="15">
        <v>40924230.51</v>
      </c>
      <c r="C16" s="15">
        <v>377902.51</v>
      </c>
      <c r="D16" s="15">
        <f t="shared" si="0"/>
        <v>37620417</v>
      </c>
      <c r="E16" s="15">
        <v>2925911</v>
      </c>
      <c r="F16" s="16">
        <v>1778</v>
      </c>
      <c r="G16" s="15">
        <v>235</v>
      </c>
    </row>
    <row r="17" spans="1:7" ht="12.75">
      <c r="A17" s="22">
        <f t="shared" si="1"/>
        <v>41027</v>
      </c>
      <c r="B17" s="15">
        <v>43684015.52</v>
      </c>
      <c r="C17" s="15">
        <v>-650910.48</v>
      </c>
      <c r="D17" s="15">
        <f t="shared" si="0"/>
        <v>40132920</v>
      </c>
      <c r="E17" s="15">
        <v>4202006</v>
      </c>
      <c r="F17" s="16">
        <v>1778</v>
      </c>
      <c r="G17" s="15">
        <v>338</v>
      </c>
    </row>
    <row r="18" spans="1:7" ht="12.75">
      <c r="A18" s="22">
        <f t="shared" si="1"/>
        <v>41034</v>
      </c>
      <c r="B18" s="15">
        <v>44479972.06</v>
      </c>
      <c r="C18" s="15">
        <v>381107.06</v>
      </c>
      <c r="D18" s="15">
        <f t="shared" si="0"/>
        <v>40743974</v>
      </c>
      <c r="E18" s="15">
        <v>3354891</v>
      </c>
      <c r="F18" s="16">
        <v>1778</v>
      </c>
      <c r="G18" s="15">
        <v>270</v>
      </c>
    </row>
    <row r="19" spans="1:7" ht="12.75">
      <c r="A19" s="22">
        <f t="shared" si="1"/>
        <v>41041</v>
      </c>
      <c r="B19" s="15">
        <v>41572152.26</v>
      </c>
      <c r="C19" s="15">
        <v>386651.26</v>
      </c>
      <c r="D19" s="15">
        <f t="shared" si="0"/>
        <v>38155484</v>
      </c>
      <c r="E19" s="15">
        <v>3030017</v>
      </c>
      <c r="F19" s="16">
        <v>1778</v>
      </c>
      <c r="G19" s="15">
        <v>243</v>
      </c>
    </row>
    <row r="20" spans="1:7" ht="12.75">
      <c r="A20" s="22">
        <f t="shared" si="1"/>
        <v>41048</v>
      </c>
      <c r="B20" s="15">
        <v>38520443.81</v>
      </c>
      <c r="C20" s="15">
        <v>276552.81</v>
      </c>
      <c r="D20" s="15">
        <f t="shared" si="0"/>
        <v>35228577</v>
      </c>
      <c r="E20" s="15">
        <v>3015314</v>
      </c>
      <c r="F20" s="16">
        <v>1778</v>
      </c>
      <c r="G20" s="15">
        <v>242</v>
      </c>
    </row>
    <row r="21" spans="1:7" ht="12.75">
      <c r="A21" s="22">
        <f t="shared" si="1"/>
        <v>41055</v>
      </c>
      <c r="B21" s="15">
        <v>40465595.97</v>
      </c>
      <c r="C21" s="15">
        <v>348794.97</v>
      </c>
      <c r="D21" s="15">
        <f t="shared" si="0"/>
        <v>37191424</v>
      </c>
      <c r="E21" s="15">
        <v>2925377</v>
      </c>
      <c r="F21" s="16">
        <v>1778</v>
      </c>
      <c r="G21" s="15">
        <v>235</v>
      </c>
    </row>
    <row r="22" spans="1:7" ht="12.75">
      <c r="A22" s="22">
        <f t="shared" si="1"/>
        <v>41062</v>
      </c>
      <c r="B22" s="15">
        <v>43934074.7</v>
      </c>
      <c r="C22" s="15">
        <v>372818.7</v>
      </c>
      <c r="D22" s="15">
        <f t="shared" si="0"/>
        <v>40263563</v>
      </c>
      <c r="E22" s="15">
        <v>3297693</v>
      </c>
      <c r="F22" s="16">
        <v>1778</v>
      </c>
      <c r="G22" s="15">
        <v>265</v>
      </c>
    </row>
    <row r="23" spans="1:7" ht="12.75">
      <c r="A23" s="22">
        <f t="shared" si="1"/>
        <v>41069</v>
      </c>
      <c r="B23" s="15">
        <v>41968443.39</v>
      </c>
      <c r="C23" s="15">
        <v>297332.39</v>
      </c>
      <c r="D23" s="15">
        <f t="shared" si="0"/>
        <v>38493801</v>
      </c>
      <c r="E23" s="15">
        <v>3177310</v>
      </c>
      <c r="F23" s="16">
        <v>1778</v>
      </c>
      <c r="G23" s="15">
        <v>255</v>
      </c>
    </row>
    <row r="24" spans="1:7" ht="12.75">
      <c r="A24" s="22">
        <f t="shared" si="1"/>
        <v>41076</v>
      </c>
      <c r="B24" s="15">
        <v>40043562.01</v>
      </c>
      <c r="C24" s="15">
        <v>373849.01</v>
      </c>
      <c r="D24" s="15">
        <f t="shared" si="0"/>
        <v>36797122</v>
      </c>
      <c r="E24" s="15">
        <v>2872591</v>
      </c>
      <c r="F24" s="16">
        <v>1778</v>
      </c>
      <c r="G24" s="15">
        <v>231</v>
      </c>
    </row>
    <row r="25" spans="1:7" ht="12.75">
      <c r="A25" s="22">
        <f t="shared" si="1"/>
        <v>41083</v>
      </c>
      <c r="B25" s="15">
        <v>40930869.46</v>
      </c>
      <c r="C25" s="15">
        <v>342952.46</v>
      </c>
      <c r="D25" s="15">
        <f t="shared" si="0"/>
        <v>37642573</v>
      </c>
      <c r="E25" s="15">
        <v>2945344</v>
      </c>
      <c r="F25" s="16">
        <v>1778</v>
      </c>
      <c r="G25" s="15">
        <v>237</v>
      </c>
    </row>
    <row r="26" spans="1:7" ht="12.75">
      <c r="A26" s="22">
        <f t="shared" si="1"/>
        <v>41090</v>
      </c>
      <c r="B26" s="15">
        <v>41143931.87</v>
      </c>
      <c r="C26" s="15">
        <v>338817.87</v>
      </c>
      <c r="D26" s="15">
        <f t="shared" si="0"/>
        <v>37682549</v>
      </c>
      <c r="E26" s="15">
        <v>3122565</v>
      </c>
      <c r="F26" s="16">
        <v>1778</v>
      </c>
      <c r="G26" s="15">
        <v>251</v>
      </c>
    </row>
    <row r="27" spans="1:7" ht="12.75">
      <c r="A27" s="22">
        <f t="shared" si="1"/>
        <v>41097</v>
      </c>
      <c r="B27" s="15">
        <v>45049610.74</v>
      </c>
      <c r="C27" s="15">
        <v>344147.74</v>
      </c>
      <c r="D27" s="15">
        <f t="shared" si="0"/>
        <v>41196703</v>
      </c>
      <c r="E27" s="15">
        <v>3508760</v>
      </c>
      <c r="F27" s="16">
        <v>1778</v>
      </c>
      <c r="G27" s="15">
        <v>282</v>
      </c>
    </row>
    <row r="28" spans="1:7" ht="12.75">
      <c r="A28" s="22">
        <f t="shared" si="1"/>
        <v>41104</v>
      </c>
      <c r="B28" s="15">
        <v>41559605.66</v>
      </c>
      <c r="C28" s="15">
        <v>280193.66</v>
      </c>
      <c r="D28" s="15">
        <f t="shared" si="0"/>
        <v>38112665</v>
      </c>
      <c r="E28" s="15">
        <v>3166747</v>
      </c>
      <c r="F28" s="16">
        <v>1778</v>
      </c>
      <c r="G28" s="15">
        <v>254</v>
      </c>
    </row>
    <row r="29" spans="1:7" ht="12.75">
      <c r="A29" s="22">
        <f t="shared" si="1"/>
        <v>41111</v>
      </c>
      <c r="B29" s="15">
        <v>42169761.71</v>
      </c>
      <c r="C29" s="15">
        <v>333212.71</v>
      </c>
      <c r="D29" s="15">
        <f t="shared" si="0"/>
        <v>38707894</v>
      </c>
      <c r="E29" s="15">
        <v>3128655</v>
      </c>
      <c r="F29" s="16">
        <v>1779.7142857142858</v>
      </c>
      <c r="G29" s="15">
        <v>251</v>
      </c>
    </row>
    <row r="30" spans="1:7" ht="12.75">
      <c r="A30" s="22">
        <f t="shared" si="1"/>
        <v>41118</v>
      </c>
      <c r="B30" s="15">
        <v>42525847.64</v>
      </c>
      <c r="C30" s="15">
        <v>327969.64</v>
      </c>
      <c r="D30" s="15">
        <f t="shared" si="0"/>
        <v>38869825</v>
      </c>
      <c r="E30" s="15">
        <v>3328053</v>
      </c>
      <c r="F30" s="16">
        <v>1782</v>
      </c>
      <c r="G30" s="15">
        <v>267</v>
      </c>
    </row>
    <row r="31" spans="1:7" ht="12.75">
      <c r="A31" s="22">
        <f t="shared" si="1"/>
        <v>41125</v>
      </c>
      <c r="B31" s="15">
        <v>46001654.96</v>
      </c>
      <c r="C31" s="15">
        <v>292738.96</v>
      </c>
      <c r="D31" s="15">
        <f t="shared" si="0"/>
        <v>42212965</v>
      </c>
      <c r="E31" s="15">
        <v>3495951</v>
      </c>
      <c r="F31" s="16">
        <v>1782</v>
      </c>
      <c r="G31" s="15">
        <v>280</v>
      </c>
    </row>
    <row r="32" spans="1:7" ht="12.75">
      <c r="A32" s="22">
        <f t="shared" si="1"/>
        <v>41132</v>
      </c>
      <c r="B32" s="15">
        <v>47490785.54</v>
      </c>
      <c r="C32" s="15">
        <v>332848.54</v>
      </c>
      <c r="D32" s="15">
        <f t="shared" si="0"/>
        <v>43484831</v>
      </c>
      <c r="E32" s="15">
        <v>3673106</v>
      </c>
      <c r="F32" s="16">
        <v>1782</v>
      </c>
      <c r="G32" s="15">
        <v>294</v>
      </c>
    </row>
    <row r="33" spans="1:7" ht="12.75">
      <c r="A33" s="22">
        <f t="shared" si="1"/>
        <v>41139</v>
      </c>
      <c r="B33" s="15">
        <v>45964698.46</v>
      </c>
      <c r="C33" s="15">
        <v>315802.46</v>
      </c>
      <c r="D33" s="15">
        <f t="shared" si="0"/>
        <v>42125068</v>
      </c>
      <c r="E33" s="15">
        <v>3523828</v>
      </c>
      <c r="F33" s="16">
        <v>1782</v>
      </c>
      <c r="G33" s="15">
        <v>282</v>
      </c>
    </row>
    <row r="34" spans="1:7" ht="12.75">
      <c r="A34" s="22">
        <f t="shared" si="1"/>
        <v>41146</v>
      </c>
      <c r="B34" s="15">
        <v>44062613.69</v>
      </c>
      <c r="C34" s="15">
        <v>318580.69</v>
      </c>
      <c r="D34" s="15">
        <f t="shared" si="0"/>
        <v>40389385</v>
      </c>
      <c r="E34" s="15">
        <v>3354648</v>
      </c>
      <c r="F34" s="16">
        <v>1782</v>
      </c>
      <c r="G34" s="15">
        <v>269</v>
      </c>
    </row>
    <row r="35" spans="1:7" ht="12.75">
      <c r="A35" s="22">
        <f t="shared" si="1"/>
        <v>41153</v>
      </c>
      <c r="B35" s="15">
        <v>47973095.8</v>
      </c>
      <c r="C35" s="15">
        <v>334723.8</v>
      </c>
      <c r="D35" s="15">
        <f t="shared" si="0"/>
        <v>43919518</v>
      </c>
      <c r="E35" s="15">
        <v>3718854</v>
      </c>
      <c r="F35" s="16">
        <v>1782</v>
      </c>
      <c r="G35" s="15">
        <v>298</v>
      </c>
    </row>
    <row r="36" spans="1:7" ht="12.75">
      <c r="A36" s="22">
        <f t="shared" si="1"/>
        <v>41160</v>
      </c>
      <c r="B36" s="15">
        <v>42393014.26</v>
      </c>
      <c r="C36" s="15">
        <v>270358.26</v>
      </c>
      <c r="D36" s="15">
        <f t="shared" si="0"/>
        <v>38851023</v>
      </c>
      <c r="E36" s="15">
        <v>3271633</v>
      </c>
      <c r="F36" s="16">
        <v>1782</v>
      </c>
      <c r="G36" s="15">
        <v>262</v>
      </c>
    </row>
    <row r="37" spans="1:7" ht="12.75">
      <c r="A37" s="22">
        <f t="shared" si="1"/>
        <v>41167</v>
      </c>
      <c r="B37" s="15">
        <v>37125556.55</v>
      </c>
      <c r="C37" s="15">
        <v>204795.55</v>
      </c>
      <c r="D37" s="15">
        <f t="shared" si="0"/>
        <v>33906986</v>
      </c>
      <c r="E37" s="15">
        <v>3013775</v>
      </c>
      <c r="F37" s="16">
        <v>1782</v>
      </c>
      <c r="G37" s="15">
        <v>242</v>
      </c>
    </row>
    <row r="38" spans="1:7" ht="12.75">
      <c r="A38" s="22">
        <f t="shared" si="1"/>
        <v>41174</v>
      </c>
      <c r="B38" s="15">
        <v>36915417.7</v>
      </c>
      <c r="C38" s="15">
        <v>259191.7</v>
      </c>
      <c r="D38" s="15">
        <f t="shared" si="0"/>
        <v>33778860</v>
      </c>
      <c r="E38" s="15">
        <v>2877366</v>
      </c>
      <c r="F38" s="16">
        <f>12474/7</f>
        <v>1782</v>
      </c>
      <c r="G38" s="15">
        <v>231</v>
      </c>
    </row>
    <row r="39" spans="1:7" ht="12.75">
      <c r="A39" s="22">
        <f t="shared" si="1"/>
        <v>41181</v>
      </c>
      <c r="B39" s="15">
        <v>40126578.38</v>
      </c>
      <c r="C39" s="15">
        <v>274306.38</v>
      </c>
      <c r="D39" s="15">
        <f t="shared" si="0"/>
        <v>36803735</v>
      </c>
      <c r="E39" s="15">
        <v>3048537</v>
      </c>
      <c r="F39" s="16">
        <f>12474/7</f>
        <v>1782</v>
      </c>
      <c r="G39" s="15">
        <v>244</v>
      </c>
    </row>
    <row r="40" spans="1:7" ht="12.75">
      <c r="A40" s="22">
        <f t="shared" si="1"/>
        <v>41188</v>
      </c>
      <c r="B40" s="15">
        <v>39796583.12</v>
      </c>
      <c r="C40" s="15">
        <v>268766.12</v>
      </c>
      <c r="D40" s="15">
        <f t="shared" si="0"/>
        <v>36410707</v>
      </c>
      <c r="E40" s="15">
        <v>3117110</v>
      </c>
      <c r="F40" s="16">
        <v>1782</v>
      </c>
      <c r="G40" s="15">
        <v>250</v>
      </c>
    </row>
    <row r="41" spans="1:7" ht="12.75">
      <c r="A41" s="22">
        <f t="shared" si="1"/>
        <v>41195</v>
      </c>
      <c r="B41" s="15">
        <v>38107132.21</v>
      </c>
      <c r="C41" s="15">
        <v>241851.21</v>
      </c>
      <c r="D41" s="15">
        <f t="shared" si="0"/>
        <v>34925136</v>
      </c>
      <c r="E41" s="15">
        <v>2940145</v>
      </c>
      <c r="F41" s="16">
        <f>12474/7</f>
        <v>1782</v>
      </c>
      <c r="G41" s="15">
        <v>236</v>
      </c>
    </row>
    <row r="42" spans="1:7" ht="12.75">
      <c r="A42" s="22">
        <f t="shared" si="1"/>
        <v>41202</v>
      </c>
      <c r="B42" s="15">
        <v>37656976.42</v>
      </c>
      <c r="C42" s="15">
        <v>276421.42</v>
      </c>
      <c r="D42" s="15">
        <f t="shared" si="0"/>
        <v>34584511</v>
      </c>
      <c r="E42" s="15">
        <v>2796044</v>
      </c>
      <c r="F42" s="16">
        <f>12474/7</f>
        <v>1782</v>
      </c>
      <c r="G42" s="15">
        <v>224</v>
      </c>
    </row>
    <row r="43" spans="1:7" ht="12.75">
      <c r="A43" s="22">
        <f t="shared" si="1"/>
        <v>41209</v>
      </c>
      <c r="B43" s="15">
        <v>37730324.41</v>
      </c>
      <c r="C43" s="15">
        <v>263634.41</v>
      </c>
      <c r="D43" s="15">
        <f t="shared" si="0"/>
        <v>34636085</v>
      </c>
      <c r="E43" s="15">
        <v>2830605</v>
      </c>
      <c r="F43" s="16">
        <v>1782</v>
      </c>
      <c r="G43" s="15">
        <v>227</v>
      </c>
    </row>
    <row r="44" spans="1:7" ht="12.75">
      <c r="A44" s="22">
        <f t="shared" si="1"/>
        <v>41216</v>
      </c>
      <c r="B44" s="15">
        <v>38130418.38</v>
      </c>
      <c r="C44" s="15">
        <v>253743.38</v>
      </c>
      <c r="D44" s="15">
        <f t="shared" si="0"/>
        <v>35013262</v>
      </c>
      <c r="E44" s="15">
        <v>2863413</v>
      </c>
      <c r="F44" s="16">
        <v>1782</v>
      </c>
      <c r="G44" s="15">
        <v>230</v>
      </c>
    </row>
    <row r="45" spans="1:7" ht="12.75">
      <c r="A45" s="22">
        <f t="shared" si="1"/>
        <v>41223</v>
      </c>
      <c r="B45" s="15">
        <v>36306820.35</v>
      </c>
      <c r="C45" s="15">
        <v>252319.35</v>
      </c>
      <c r="D45" s="15">
        <f t="shared" si="0"/>
        <v>33395490</v>
      </c>
      <c r="E45" s="15">
        <v>2659011</v>
      </c>
      <c r="F45" s="16">
        <v>1782</v>
      </c>
      <c r="G45" s="15">
        <v>213</v>
      </c>
    </row>
    <row r="46" spans="1:7" ht="12.75">
      <c r="A46" s="22">
        <f t="shared" si="1"/>
        <v>41230</v>
      </c>
      <c r="B46" s="15">
        <v>36465586.22</v>
      </c>
      <c r="C46" s="15">
        <v>281229.22</v>
      </c>
      <c r="D46" s="15">
        <f t="shared" si="0"/>
        <v>33343890</v>
      </c>
      <c r="E46" s="15">
        <v>2840467</v>
      </c>
      <c r="F46" s="16">
        <v>1782</v>
      </c>
      <c r="G46" s="15">
        <v>228</v>
      </c>
    </row>
    <row r="47" spans="1:7" ht="12.75">
      <c r="A47" s="22">
        <f t="shared" si="1"/>
        <v>41237</v>
      </c>
      <c r="B47" s="15">
        <v>38122010.54</v>
      </c>
      <c r="C47" s="15">
        <v>265267.54</v>
      </c>
      <c r="D47" s="15">
        <f t="shared" si="0"/>
        <v>34891475</v>
      </c>
      <c r="E47" s="15">
        <v>2965268</v>
      </c>
      <c r="F47" s="16">
        <f>12474/7</f>
        <v>1782</v>
      </c>
      <c r="G47" s="15">
        <v>238</v>
      </c>
    </row>
    <row r="48" spans="1:7" ht="12.75">
      <c r="A48" s="22">
        <f t="shared" si="1"/>
        <v>41244</v>
      </c>
      <c r="B48" s="15">
        <v>31483833.53</v>
      </c>
      <c r="C48" s="15">
        <v>248000.53</v>
      </c>
      <c r="D48" s="15">
        <f t="shared" si="0"/>
        <v>28857584</v>
      </c>
      <c r="E48" s="15">
        <v>2378249</v>
      </c>
      <c r="F48" s="16">
        <v>1782</v>
      </c>
      <c r="G48" s="15">
        <v>191</v>
      </c>
    </row>
    <row r="49" spans="1:7" ht="12.75">
      <c r="A49" s="22">
        <f t="shared" si="1"/>
        <v>41251</v>
      </c>
      <c r="B49" s="15">
        <v>35395769.4</v>
      </c>
      <c r="C49" s="15">
        <v>228820.4</v>
      </c>
      <c r="D49" s="15">
        <f t="shared" si="0"/>
        <v>32456880</v>
      </c>
      <c r="E49" s="15">
        <v>2710069</v>
      </c>
      <c r="F49" s="16">
        <v>1782</v>
      </c>
      <c r="G49" s="15">
        <v>217</v>
      </c>
    </row>
    <row r="50" spans="1:7" ht="12.75">
      <c r="A50" s="22">
        <f t="shared" si="1"/>
        <v>41258</v>
      </c>
      <c r="B50" s="15">
        <v>33807040.98</v>
      </c>
      <c r="C50" s="15">
        <v>279928.98</v>
      </c>
      <c r="D50" s="15">
        <f t="shared" si="0"/>
        <v>30959225.999999996</v>
      </c>
      <c r="E50" s="15">
        <v>2567886</v>
      </c>
      <c r="F50" s="16">
        <v>1782</v>
      </c>
      <c r="G50" s="15">
        <v>206</v>
      </c>
    </row>
    <row r="51" spans="1:7" ht="12.75">
      <c r="A51" s="22">
        <f t="shared" si="1"/>
        <v>41265</v>
      </c>
      <c r="B51" s="15">
        <v>30044993.06</v>
      </c>
      <c r="C51" s="15">
        <v>242290.06</v>
      </c>
      <c r="D51" s="15">
        <f t="shared" si="0"/>
        <v>27516025</v>
      </c>
      <c r="E51" s="15">
        <v>2286678</v>
      </c>
      <c r="F51" s="16">
        <v>1782</v>
      </c>
      <c r="G51" s="15">
        <v>183</v>
      </c>
    </row>
    <row r="52" spans="1:7" ht="12.75">
      <c r="A52" s="22">
        <f t="shared" si="1"/>
        <v>41272</v>
      </c>
      <c r="B52" s="15">
        <v>29867543.28</v>
      </c>
      <c r="C52" s="15">
        <v>223195.28</v>
      </c>
      <c r="D52" s="15">
        <f t="shared" si="0"/>
        <v>27351371</v>
      </c>
      <c r="E52" s="15">
        <v>2292977</v>
      </c>
      <c r="F52" s="16">
        <f>12474/7</f>
        <v>1782</v>
      </c>
      <c r="G52" s="15">
        <v>184</v>
      </c>
    </row>
    <row r="53" spans="1:7" ht="12.75">
      <c r="A53" s="22">
        <f t="shared" si="1"/>
        <v>41279</v>
      </c>
      <c r="B53" s="15">
        <v>42395681.26</v>
      </c>
      <c r="C53" s="15">
        <v>291140.26</v>
      </c>
      <c r="D53" s="15">
        <f t="shared" si="0"/>
        <v>38843778</v>
      </c>
      <c r="E53" s="15">
        <v>3260763</v>
      </c>
      <c r="F53" s="16">
        <v>1782</v>
      </c>
      <c r="G53" s="15">
        <v>261</v>
      </c>
    </row>
    <row r="54" spans="1:7" ht="12.75">
      <c r="A54" s="22">
        <f t="shared" si="1"/>
        <v>41286</v>
      </c>
      <c r="B54" s="15">
        <v>36090219.27</v>
      </c>
      <c r="C54" s="15">
        <v>239934.27</v>
      </c>
      <c r="D54" s="15">
        <f t="shared" si="0"/>
        <v>33027484</v>
      </c>
      <c r="E54" s="15">
        <v>2822801</v>
      </c>
      <c r="F54" s="16">
        <v>1782</v>
      </c>
      <c r="G54" s="15">
        <v>226</v>
      </c>
    </row>
    <row r="55" spans="1:7" ht="12.75">
      <c r="A55" s="22">
        <f t="shared" si="1"/>
        <v>41293</v>
      </c>
      <c r="B55" s="15">
        <v>34407739.15</v>
      </c>
      <c r="C55" s="15">
        <v>266792.15</v>
      </c>
      <c r="D55" s="15">
        <f t="shared" si="0"/>
        <v>31550688</v>
      </c>
      <c r="E55" s="15">
        <v>2590259</v>
      </c>
      <c r="F55" s="16">
        <v>1782</v>
      </c>
      <c r="G55" s="15">
        <v>208</v>
      </c>
    </row>
    <row r="56" spans="1:7" ht="12.75">
      <c r="A56" s="22">
        <f t="shared" si="1"/>
        <v>41300</v>
      </c>
      <c r="B56" s="15">
        <v>34661677.41</v>
      </c>
      <c r="C56" s="15">
        <v>261955.41</v>
      </c>
      <c r="D56" s="15">
        <f t="shared" si="0"/>
        <v>31882259</v>
      </c>
      <c r="E56" s="15">
        <v>2517463</v>
      </c>
      <c r="F56" s="16">
        <v>1782</v>
      </c>
      <c r="G56" s="15">
        <v>202</v>
      </c>
    </row>
    <row r="57" spans="1:7" ht="12.75">
      <c r="A57" s="22">
        <f t="shared" si="1"/>
        <v>41307</v>
      </c>
      <c r="B57" s="15">
        <v>33987219.24</v>
      </c>
      <c r="C57" s="15">
        <v>201165.24</v>
      </c>
      <c r="D57" s="15">
        <f t="shared" si="0"/>
        <v>31116599</v>
      </c>
      <c r="E57" s="15">
        <v>2669455</v>
      </c>
      <c r="F57" s="16">
        <v>1782</v>
      </c>
      <c r="G57" s="15">
        <v>214</v>
      </c>
    </row>
    <row r="58" spans="1:7" ht="12.75">
      <c r="A58" s="22">
        <f t="shared" si="1"/>
        <v>41314</v>
      </c>
      <c r="B58" s="15">
        <v>34345479.77</v>
      </c>
      <c r="C58" s="15">
        <v>260466.77</v>
      </c>
      <c r="D58" s="15">
        <f t="shared" si="0"/>
        <v>31544677</v>
      </c>
      <c r="E58" s="15">
        <v>2540336</v>
      </c>
      <c r="F58" s="16">
        <v>1782</v>
      </c>
      <c r="G58" s="15">
        <v>204</v>
      </c>
    </row>
    <row r="59" spans="1:7" ht="12.75">
      <c r="A59" s="22">
        <f t="shared" si="1"/>
        <v>41321</v>
      </c>
      <c r="B59" s="15">
        <v>43487734.89</v>
      </c>
      <c r="C59" s="15">
        <v>327844.89</v>
      </c>
      <c r="D59" s="15">
        <f t="shared" si="0"/>
        <v>39995341</v>
      </c>
      <c r="E59" s="15">
        <v>3164549</v>
      </c>
      <c r="F59" s="16">
        <v>1782</v>
      </c>
      <c r="G59" s="15">
        <v>254</v>
      </c>
    </row>
    <row r="60" spans="1:7" ht="12.75">
      <c r="A60" s="22">
        <f t="shared" si="1"/>
        <v>41328</v>
      </c>
      <c r="B60" s="15">
        <v>43254943.63</v>
      </c>
      <c r="C60" s="15">
        <v>333012.63</v>
      </c>
      <c r="D60" s="15">
        <f t="shared" si="0"/>
        <v>39648349</v>
      </c>
      <c r="E60" s="15">
        <v>3273582</v>
      </c>
      <c r="F60" s="16">
        <v>1782</v>
      </c>
      <c r="G60" s="15">
        <v>262</v>
      </c>
    </row>
    <row r="61" spans="1:7" ht="12.75">
      <c r="A61" s="22">
        <f t="shared" si="1"/>
        <v>41335</v>
      </c>
      <c r="B61" s="15">
        <v>42143451.81</v>
      </c>
      <c r="C61" s="15">
        <v>329610.81</v>
      </c>
      <c r="D61" s="15">
        <f t="shared" si="0"/>
        <v>38635653</v>
      </c>
      <c r="E61" s="15">
        <v>3178188</v>
      </c>
      <c r="F61" s="16">
        <v>1782</v>
      </c>
      <c r="G61" s="15">
        <v>255</v>
      </c>
    </row>
    <row r="62" spans="1:7" ht="12.75">
      <c r="A62" s="22">
        <f t="shared" si="1"/>
        <v>41342</v>
      </c>
      <c r="B62" s="15">
        <v>42044995.5</v>
      </c>
      <c r="C62" s="15">
        <v>319278.5</v>
      </c>
      <c r="D62" s="15">
        <f t="shared" si="0"/>
        <v>38446162</v>
      </c>
      <c r="E62" s="15">
        <v>3279555</v>
      </c>
      <c r="F62" s="16">
        <v>1782</v>
      </c>
      <c r="G62" s="15">
        <v>263</v>
      </c>
    </row>
    <row r="63" spans="1:7" ht="12.75">
      <c r="A63" s="22">
        <f t="shared" si="1"/>
        <v>41349</v>
      </c>
      <c r="B63" s="15">
        <v>41498930.96</v>
      </c>
      <c r="C63" s="15">
        <v>387798.96</v>
      </c>
      <c r="D63" s="15">
        <f t="shared" si="0"/>
        <v>37892324</v>
      </c>
      <c r="E63" s="15">
        <v>3218808</v>
      </c>
      <c r="F63" s="16">
        <v>1782</v>
      </c>
      <c r="G63" s="15">
        <v>258</v>
      </c>
    </row>
    <row r="64" spans="1:7" ht="12.75">
      <c r="A64" s="22">
        <f t="shared" si="1"/>
        <v>41356</v>
      </c>
      <c r="B64" s="15">
        <v>41530728.01</v>
      </c>
      <c r="C64" s="15">
        <v>381720.01</v>
      </c>
      <c r="D64" s="15">
        <f t="shared" si="0"/>
        <v>38012347</v>
      </c>
      <c r="E64" s="15">
        <v>3136661</v>
      </c>
      <c r="F64" s="16">
        <v>1782</v>
      </c>
      <c r="G64" s="15">
        <v>251</v>
      </c>
    </row>
    <row r="65" ht="12.75">
      <c r="A65" s="22"/>
    </row>
    <row r="66" spans="1:7" ht="13.5" thickBot="1">
      <c r="A66" s="3" t="s">
        <v>8</v>
      </c>
      <c r="B66" s="17">
        <f>SUM(B13:B64)</f>
        <v>2077566445.1000004</v>
      </c>
      <c r="C66" s="17">
        <f>SUM(C13:C64)</f>
        <v>14766315.100000003</v>
      </c>
      <c r="D66" s="17">
        <f>SUM(D13:D64)</f>
        <v>1904273519</v>
      </c>
      <c r="E66" s="17">
        <f>SUM(E13:E64)</f>
        <v>158526611</v>
      </c>
      <c r="F66" s="24">
        <f>SUM(F13:F65)/COUNT(F13:F65)</f>
        <v>1780.7252747252749</v>
      </c>
      <c r="G66" s="17">
        <f>+E66/SUM(F13:F65)/7</f>
        <v>244.57038587808398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12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26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44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24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38881219</v>
      </c>
      <c r="C13" s="15">
        <v>0</v>
      </c>
      <c r="D13" s="15">
        <f aca="true" t="shared" si="0" ref="D13:D64">+B13-C13-E13</f>
        <v>35747489</v>
      </c>
      <c r="E13" s="15">
        <v>3133730</v>
      </c>
      <c r="F13" s="16">
        <v>1790</v>
      </c>
      <c r="G13" s="15">
        <v>250</v>
      </c>
    </row>
    <row r="14" spans="1:7" ht="12.75">
      <c r="A14" s="22">
        <f aca="true" t="shared" si="1" ref="A14:A45">+A13+7</f>
        <v>40642</v>
      </c>
      <c r="B14" s="15">
        <v>36208379.45</v>
      </c>
      <c r="C14" s="15">
        <v>95723.45</v>
      </c>
      <c r="D14" s="15">
        <f t="shared" si="0"/>
        <v>33232591</v>
      </c>
      <c r="E14" s="15">
        <v>2880065</v>
      </c>
      <c r="F14" s="16">
        <v>1790</v>
      </c>
      <c r="G14" s="15">
        <v>230</v>
      </c>
    </row>
    <row r="15" spans="1:7" ht="12.75">
      <c r="A15" s="22">
        <f t="shared" si="1"/>
        <v>40649</v>
      </c>
      <c r="B15" s="15">
        <v>34139218.78</v>
      </c>
      <c r="C15" s="15">
        <v>126513.78</v>
      </c>
      <c r="D15" s="15">
        <f t="shared" si="0"/>
        <v>31331625</v>
      </c>
      <c r="E15" s="15">
        <v>2681080</v>
      </c>
      <c r="F15" s="16">
        <v>1790</v>
      </c>
      <c r="G15" s="15">
        <v>214</v>
      </c>
    </row>
    <row r="16" spans="1:7" ht="12.75">
      <c r="A16" s="22">
        <f t="shared" si="1"/>
        <v>40656</v>
      </c>
      <c r="B16" s="15">
        <v>35080651.72</v>
      </c>
      <c r="C16" s="15">
        <v>116915.72</v>
      </c>
      <c r="D16" s="15">
        <f t="shared" si="0"/>
        <v>32327385</v>
      </c>
      <c r="E16" s="15">
        <v>2636351</v>
      </c>
      <c r="F16" s="16">
        <v>1790</v>
      </c>
      <c r="G16" s="15">
        <v>210</v>
      </c>
    </row>
    <row r="17" spans="1:7" ht="12.75">
      <c r="A17" s="22">
        <f t="shared" si="1"/>
        <v>40663</v>
      </c>
      <c r="B17" s="15">
        <v>38033713.08</v>
      </c>
      <c r="C17" s="15">
        <v>124030.08</v>
      </c>
      <c r="D17" s="15">
        <f t="shared" si="0"/>
        <v>34937228</v>
      </c>
      <c r="E17" s="15">
        <v>2972455</v>
      </c>
      <c r="F17" s="16">
        <v>1790</v>
      </c>
      <c r="G17" s="15">
        <v>237</v>
      </c>
    </row>
    <row r="18" spans="1:7" ht="12.75">
      <c r="A18" s="22">
        <f t="shared" si="1"/>
        <v>40670</v>
      </c>
      <c r="B18" s="15">
        <v>39901329.74</v>
      </c>
      <c r="C18" s="15">
        <v>276393.74</v>
      </c>
      <c r="D18" s="15">
        <f t="shared" si="0"/>
        <v>36628338</v>
      </c>
      <c r="E18" s="15">
        <v>2996598</v>
      </c>
      <c r="F18" s="16">
        <v>1790</v>
      </c>
      <c r="G18" s="15">
        <v>239</v>
      </c>
    </row>
    <row r="19" spans="1:7" ht="12.75">
      <c r="A19" s="22">
        <f t="shared" si="1"/>
        <v>40677</v>
      </c>
      <c r="B19" s="15">
        <v>37571983.41</v>
      </c>
      <c r="C19" s="15">
        <v>259659.41</v>
      </c>
      <c r="D19" s="15">
        <f t="shared" si="0"/>
        <v>34517532</v>
      </c>
      <c r="E19" s="15">
        <v>2794792</v>
      </c>
      <c r="F19" s="16">
        <v>1790</v>
      </c>
      <c r="G19" s="15">
        <v>223</v>
      </c>
    </row>
    <row r="20" spans="1:7" ht="12.75">
      <c r="A20" s="22">
        <f t="shared" si="1"/>
        <v>40684</v>
      </c>
      <c r="B20" s="15">
        <v>39204443.43</v>
      </c>
      <c r="C20" s="15">
        <v>261857.43</v>
      </c>
      <c r="D20" s="15">
        <f t="shared" si="0"/>
        <v>35892295</v>
      </c>
      <c r="E20" s="15">
        <v>3050291</v>
      </c>
      <c r="F20" s="16">
        <v>1790</v>
      </c>
      <c r="G20" s="15">
        <v>243</v>
      </c>
    </row>
    <row r="21" spans="1:7" ht="12.75">
      <c r="A21" s="22">
        <f t="shared" si="1"/>
        <v>40691</v>
      </c>
      <c r="B21" s="15">
        <v>37984082.26</v>
      </c>
      <c r="C21" s="15">
        <v>249328.26</v>
      </c>
      <c r="D21" s="15">
        <f t="shared" si="0"/>
        <v>34935424</v>
      </c>
      <c r="E21" s="15">
        <v>2799330</v>
      </c>
      <c r="F21" s="16">
        <v>1790</v>
      </c>
      <c r="G21" s="15">
        <v>223</v>
      </c>
    </row>
    <row r="22" spans="1:7" ht="12.75">
      <c r="A22" s="22">
        <f t="shared" si="1"/>
        <v>40698</v>
      </c>
      <c r="B22" s="15">
        <v>41318551.09</v>
      </c>
      <c r="C22" s="15">
        <v>339265.09</v>
      </c>
      <c r="D22" s="15">
        <f t="shared" si="0"/>
        <v>37970947</v>
      </c>
      <c r="E22" s="15">
        <v>3008339</v>
      </c>
      <c r="F22" s="16">
        <v>1790</v>
      </c>
      <c r="G22" s="15">
        <v>240</v>
      </c>
    </row>
    <row r="23" spans="1:7" ht="12.75">
      <c r="A23" s="22">
        <f t="shared" si="1"/>
        <v>40705</v>
      </c>
      <c r="B23" s="15">
        <v>41555609.21</v>
      </c>
      <c r="C23" s="15">
        <v>434221.21</v>
      </c>
      <c r="D23" s="15">
        <f t="shared" si="0"/>
        <v>38088225</v>
      </c>
      <c r="E23" s="15">
        <v>3033163</v>
      </c>
      <c r="F23" s="16">
        <v>1790</v>
      </c>
      <c r="G23" s="15">
        <v>242</v>
      </c>
    </row>
    <row r="24" spans="1:7" ht="12.75">
      <c r="A24" s="22">
        <f t="shared" si="1"/>
        <v>40712</v>
      </c>
      <c r="B24" s="15">
        <v>37831097.53</v>
      </c>
      <c r="C24" s="15">
        <v>212243.53</v>
      </c>
      <c r="D24" s="15">
        <f t="shared" si="0"/>
        <v>34640450</v>
      </c>
      <c r="E24" s="15">
        <v>2978404</v>
      </c>
      <c r="F24" s="16">
        <v>1774</v>
      </c>
      <c r="G24" s="15">
        <v>240</v>
      </c>
    </row>
    <row r="25" spans="1:7" ht="12.75">
      <c r="A25" s="22">
        <f t="shared" si="1"/>
        <v>40719</v>
      </c>
      <c r="B25" s="15">
        <v>42604094.58</v>
      </c>
      <c r="C25" s="15">
        <v>287155.58</v>
      </c>
      <c r="D25" s="15">
        <f t="shared" si="0"/>
        <v>39140241</v>
      </c>
      <c r="E25" s="15">
        <v>3176698</v>
      </c>
      <c r="F25" s="16">
        <v>1776</v>
      </c>
      <c r="G25" s="15">
        <v>256</v>
      </c>
    </row>
    <row r="26" spans="1:7" ht="12.75">
      <c r="A26" s="22">
        <f t="shared" si="1"/>
        <v>40726</v>
      </c>
      <c r="B26" s="15">
        <v>38452964.51</v>
      </c>
      <c r="C26" s="15">
        <v>269080.51</v>
      </c>
      <c r="D26" s="15">
        <f t="shared" si="0"/>
        <v>35153452</v>
      </c>
      <c r="E26" s="15">
        <v>3030432</v>
      </c>
      <c r="F26" s="16">
        <v>1776</v>
      </c>
      <c r="G26" s="15">
        <v>244</v>
      </c>
    </row>
    <row r="27" spans="1:7" ht="12.75">
      <c r="A27" s="22">
        <f t="shared" si="1"/>
        <v>40733</v>
      </c>
      <c r="B27" s="15">
        <v>47325099.49</v>
      </c>
      <c r="C27" s="15">
        <v>397756.49</v>
      </c>
      <c r="D27" s="15">
        <f t="shared" si="0"/>
        <v>43539868</v>
      </c>
      <c r="E27" s="15">
        <v>3387475</v>
      </c>
      <c r="F27" s="16">
        <v>1776</v>
      </c>
      <c r="G27" s="15">
        <v>272</v>
      </c>
    </row>
    <row r="28" spans="1:7" ht="12.75">
      <c r="A28" s="22">
        <f t="shared" si="1"/>
        <v>40740</v>
      </c>
      <c r="B28" s="15">
        <v>41717408.83</v>
      </c>
      <c r="C28" s="15">
        <v>263234.83</v>
      </c>
      <c r="D28" s="15">
        <f t="shared" si="0"/>
        <v>38230247</v>
      </c>
      <c r="E28" s="15">
        <v>3223927</v>
      </c>
      <c r="F28" s="16">
        <v>1776</v>
      </c>
      <c r="G28" s="15">
        <v>259</v>
      </c>
    </row>
    <row r="29" spans="1:7" ht="12.75">
      <c r="A29" s="22">
        <f t="shared" si="1"/>
        <v>40747</v>
      </c>
      <c r="B29" s="15">
        <v>40463556.77</v>
      </c>
      <c r="C29" s="15">
        <v>363586.77</v>
      </c>
      <c r="D29" s="15">
        <f t="shared" si="0"/>
        <v>37194299</v>
      </c>
      <c r="E29" s="15">
        <v>2905671</v>
      </c>
      <c r="F29" s="16">
        <v>1776</v>
      </c>
      <c r="G29" s="15">
        <v>234</v>
      </c>
    </row>
    <row r="30" spans="1:7" ht="12.75">
      <c r="A30" s="22">
        <f t="shared" si="1"/>
        <v>40754</v>
      </c>
      <c r="B30" s="15">
        <v>42294275.57</v>
      </c>
      <c r="C30" s="15">
        <v>330466.57</v>
      </c>
      <c r="D30" s="15">
        <f t="shared" si="0"/>
        <v>38920562</v>
      </c>
      <c r="E30" s="15">
        <v>3043247</v>
      </c>
      <c r="F30" s="16">
        <v>1776</v>
      </c>
      <c r="G30" s="15">
        <v>245</v>
      </c>
    </row>
    <row r="31" spans="1:7" ht="12.75">
      <c r="A31" s="22">
        <f t="shared" si="1"/>
        <v>40761</v>
      </c>
      <c r="B31" s="15">
        <v>49052795.86</v>
      </c>
      <c r="C31" s="15">
        <v>469146.86</v>
      </c>
      <c r="D31" s="15">
        <f t="shared" si="0"/>
        <v>44960608</v>
      </c>
      <c r="E31" s="15">
        <v>3623041</v>
      </c>
      <c r="F31" s="16">
        <v>1776</v>
      </c>
      <c r="G31" s="15">
        <v>291</v>
      </c>
    </row>
    <row r="32" spans="1:7" ht="12.75">
      <c r="A32" s="22">
        <f t="shared" si="1"/>
        <v>40768</v>
      </c>
      <c r="B32" s="15">
        <v>47451239.25</v>
      </c>
      <c r="C32" s="15">
        <v>375418.25</v>
      </c>
      <c r="D32" s="15">
        <f t="shared" si="0"/>
        <v>43531635</v>
      </c>
      <c r="E32" s="15">
        <v>3544186</v>
      </c>
      <c r="F32" s="16">
        <v>1776</v>
      </c>
      <c r="G32" s="15">
        <v>285</v>
      </c>
    </row>
    <row r="33" spans="1:7" ht="12.75">
      <c r="A33" s="22">
        <f t="shared" si="1"/>
        <v>40775</v>
      </c>
      <c r="B33" s="15">
        <v>47273156.23</v>
      </c>
      <c r="C33" s="15">
        <v>418716.23</v>
      </c>
      <c r="D33" s="15">
        <f t="shared" si="0"/>
        <v>43442023</v>
      </c>
      <c r="E33" s="15">
        <v>3412417</v>
      </c>
      <c r="F33" s="16">
        <v>1776</v>
      </c>
      <c r="G33" s="15">
        <v>274</v>
      </c>
    </row>
    <row r="34" spans="1:7" ht="12.75">
      <c r="A34" s="22">
        <f t="shared" si="1"/>
        <v>40782</v>
      </c>
      <c r="B34" s="15">
        <v>45089701.73</v>
      </c>
      <c r="C34" s="15">
        <v>460723.73</v>
      </c>
      <c r="D34" s="15">
        <f t="shared" si="0"/>
        <v>41359997</v>
      </c>
      <c r="E34" s="15">
        <v>3268981</v>
      </c>
      <c r="F34" s="16">
        <v>1776</v>
      </c>
      <c r="G34" s="15">
        <v>263</v>
      </c>
    </row>
    <row r="35" spans="1:7" ht="12.75">
      <c r="A35" s="22">
        <f t="shared" si="1"/>
        <v>40789</v>
      </c>
      <c r="B35" s="15">
        <v>41792766.35</v>
      </c>
      <c r="C35" s="15">
        <v>377585.35</v>
      </c>
      <c r="D35" s="15">
        <f t="shared" si="0"/>
        <v>38341003</v>
      </c>
      <c r="E35" s="15">
        <v>3074178</v>
      </c>
      <c r="F35" s="16">
        <v>1776</v>
      </c>
      <c r="G35" s="15">
        <v>247</v>
      </c>
    </row>
    <row r="36" spans="1:7" ht="12.75">
      <c r="A36" s="22">
        <f t="shared" si="1"/>
        <v>40796</v>
      </c>
      <c r="B36" s="15">
        <v>45388681.1</v>
      </c>
      <c r="C36" s="15">
        <v>381411.1</v>
      </c>
      <c r="D36" s="15">
        <f t="shared" si="0"/>
        <v>41863471</v>
      </c>
      <c r="E36" s="15">
        <v>3143799</v>
      </c>
      <c r="F36" s="16">
        <v>1776</v>
      </c>
      <c r="G36" s="15">
        <v>253</v>
      </c>
    </row>
    <row r="37" spans="1:7" ht="12.75">
      <c r="A37" s="22">
        <f t="shared" si="1"/>
        <v>40803</v>
      </c>
      <c r="B37" s="15">
        <v>39622221.17</v>
      </c>
      <c r="C37" s="15">
        <v>336674.17</v>
      </c>
      <c r="D37" s="15">
        <f t="shared" si="0"/>
        <v>36338195</v>
      </c>
      <c r="E37" s="15">
        <v>2947352</v>
      </c>
      <c r="F37" s="16">
        <v>1776</v>
      </c>
      <c r="G37" s="15">
        <v>237</v>
      </c>
    </row>
    <row r="38" spans="1:7" ht="12.75">
      <c r="A38" s="22">
        <f t="shared" si="1"/>
        <v>40810</v>
      </c>
      <c r="B38" s="15">
        <v>39915873.56</v>
      </c>
      <c r="C38" s="15">
        <v>365738.56</v>
      </c>
      <c r="D38" s="15">
        <f t="shared" si="0"/>
        <v>36754523</v>
      </c>
      <c r="E38" s="15">
        <v>2795612</v>
      </c>
      <c r="F38" s="16">
        <v>1776</v>
      </c>
      <c r="G38" s="15">
        <v>225</v>
      </c>
    </row>
    <row r="39" spans="1:7" ht="12.75">
      <c r="A39" s="22">
        <f t="shared" si="1"/>
        <v>40817</v>
      </c>
      <c r="B39" s="15">
        <v>43724444.1</v>
      </c>
      <c r="C39" s="15">
        <v>412259.1</v>
      </c>
      <c r="D39" s="15">
        <f t="shared" si="0"/>
        <v>40280352</v>
      </c>
      <c r="E39" s="15">
        <v>3031833</v>
      </c>
      <c r="F39" s="16">
        <v>1776</v>
      </c>
      <c r="G39" s="15">
        <v>244</v>
      </c>
    </row>
    <row r="40" spans="1:7" ht="12.75">
      <c r="A40" s="22">
        <f t="shared" si="1"/>
        <v>40824</v>
      </c>
      <c r="B40" s="15">
        <v>40883840.46</v>
      </c>
      <c r="C40" s="15">
        <v>356133.46</v>
      </c>
      <c r="D40" s="15">
        <f t="shared" si="0"/>
        <v>37640947</v>
      </c>
      <c r="E40" s="15">
        <v>2886760</v>
      </c>
      <c r="F40" s="16">
        <v>1776</v>
      </c>
      <c r="G40" s="15">
        <v>232</v>
      </c>
    </row>
    <row r="41" spans="1:7" ht="12.75">
      <c r="A41" s="22">
        <f t="shared" si="1"/>
        <v>40831</v>
      </c>
      <c r="B41" s="15">
        <v>43077040.35</v>
      </c>
      <c r="C41" s="15">
        <v>411204.35</v>
      </c>
      <c r="D41" s="15">
        <f t="shared" si="0"/>
        <v>39685417</v>
      </c>
      <c r="E41" s="15">
        <v>2980419</v>
      </c>
      <c r="F41" s="16">
        <v>1776</v>
      </c>
      <c r="G41" s="15">
        <v>240</v>
      </c>
    </row>
    <row r="42" spans="1:7" ht="12.75">
      <c r="A42" s="22">
        <f t="shared" si="1"/>
        <v>40838</v>
      </c>
      <c r="B42" s="15">
        <v>38399636</v>
      </c>
      <c r="C42" s="15">
        <v>342769</v>
      </c>
      <c r="D42" s="15">
        <f t="shared" si="0"/>
        <v>35308302</v>
      </c>
      <c r="E42" s="15">
        <v>2748565</v>
      </c>
      <c r="F42" s="16">
        <v>1776</v>
      </c>
      <c r="G42" s="15">
        <v>221</v>
      </c>
    </row>
    <row r="43" spans="1:7" ht="12.75">
      <c r="A43" s="22">
        <f t="shared" si="1"/>
        <v>40845</v>
      </c>
      <c r="B43" s="15">
        <v>36366724.4</v>
      </c>
      <c r="C43" s="15">
        <f>379434.75-53889.35</f>
        <v>325545.4</v>
      </c>
      <c r="D43" s="15">
        <f t="shared" si="0"/>
        <v>33359824</v>
      </c>
      <c r="E43" s="15">
        <v>2681355</v>
      </c>
      <c r="F43" s="16">
        <v>1776</v>
      </c>
      <c r="G43" s="15">
        <v>216</v>
      </c>
    </row>
    <row r="44" spans="1:7" ht="12.75">
      <c r="A44" s="22">
        <f t="shared" si="1"/>
        <v>40852</v>
      </c>
      <c r="B44" s="15">
        <v>39398016.63</v>
      </c>
      <c r="C44" s="15">
        <v>326303.63</v>
      </c>
      <c r="D44" s="15">
        <f t="shared" si="0"/>
        <v>36211361</v>
      </c>
      <c r="E44" s="15">
        <v>2860352</v>
      </c>
      <c r="F44" s="16">
        <v>1776</v>
      </c>
      <c r="G44" s="15">
        <v>230</v>
      </c>
    </row>
    <row r="45" spans="1:7" ht="12.75">
      <c r="A45" s="22">
        <f t="shared" si="1"/>
        <v>40859</v>
      </c>
      <c r="B45" s="15">
        <v>40552869.32</v>
      </c>
      <c r="C45" s="15">
        <v>378204.32</v>
      </c>
      <c r="D45" s="15">
        <f t="shared" si="0"/>
        <v>37196294</v>
      </c>
      <c r="E45" s="15">
        <v>2978371</v>
      </c>
      <c r="F45" s="16">
        <v>1767</v>
      </c>
      <c r="G45" s="15">
        <v>241</v>
      </c>
    </row>
    <row r="46" spans="1:7" ht="12.75">
      <c r="A46" s="22">
        <f aca="true" t="shared" si="2" ref="A46:A64">+A45+7</f>
        <v>40866</v>
      </c>
      <c r="B46" s="15">
        <v>34720309.18</v>
      </c>
      <c r="C46" s="15">
        <v>309119.18</v>
      </c>
      <c r="D46" s="15">
        <f t="shared" si="0"/>
        <v>31825845</v>
      </c>
      <c r="E46" s="15">
        <v>2585345</v>
      </c>
      <c r="F46" s="16">
        <v>1756</v>
      </c>
      <c r="G46" s="15">
        <v>210</v>
      </c>
    </row>
    <row r="47" spans="1:7" ht="12.75">
      <c r="A47" s="22">
        <f t="shared" si="2"/>
        <v>40873</v>
      </c>
      <c r="B47" s="15">
        <v>37987371.56</v>
      </c>
      <c r="C47" s="15">
        <v>287034.56</v>
      </c>
      <c r="D47" s="15">
        <f t="shared" si="0"/>
        <v>34925929</v>
      </c>
      <c r="E47" s="15">
        <v>2774408</v>
      </c>
      <c r="F47" s="16">
        <v>1767</v>
      </c>
      <c r="G47" s="15">
        <v>224</v>
      </c>
    </row>
    <row r="48" spans="1:7" ht="12.75">
      <c r="A48" s="22">
        <f t="shared" si="2"/>
        <v>40880</v>
      </c>
      <c r="B48" s="15">
        <v>34761364.38</v>
      </c>
      <c r="C48" s="15">
        <v>243908.38</v>
      </c>
      <c r="D48" s="15">
        <f t="shared" si="0"/>
        <v>31870766</v>
      </c>
      <c r="E48" s="15">
        <v>2646690</v>
      </c>
      <c r="F48" s="16">
        <v>1776</v>
      </c>
      <c r="G48" s="15">
        <v>213</v>
      </c>
    </row>
    <row r="49" spans="1:7" ht="12.75">
      <c r="A49" s="22">
        <f t="shared" si="2"/>
        <v>40887</v>
      </c>
      <c r="B49" s="15">
        <v>34335027.26</v>
      </c>
      <c r="C49" s="15">
        <v>286835.26</v>
      </c>
      <c r="D49" s="15">
        <f t="shared" si="0"/>
        <v>31393291</v>
      </c>
      <c r="E49" s="15">
        <v>2654901</v>
      </c>
      <c r="F49" s="16">
        <v>1776</v>
      </c>
      <c r="G49" s="15">
        <v>214</v>
      </c>
    </row>
    <row r="50" spans="1:7" ht="12.75">
      <c r="A50" s="22">
        <f t="shared" si="2"/>
        <v>40894</v>
      </c>
      <c r="B50" s="15">
        <v>33595946.98</v>
      </c>
      <c r="C50" s="15">
        <v>251516.98</v>
      </c>
      <c r="D50" s="15">
        <f t="shared" si="0"/>
        <v>30941490.999999996</v>
      </c>
      <c r="E50" s="15">
        <v>2402939</v>
      </c>
      <c r="F50" s="16">
        <v>1777.142857142857</v>
      </c>
      <c r="G50" s="15">
        <v>193</v>
      </c>
    </row>
    <row r="51" spans="1:7" ht="12.75">
      <c r="A51" s="22">
        <f t="shared" si="2"/>
        <v>40901</v>
      </c>
      <c r="B51" s="15">
        <v>30480847.82</v>
      </c>
      <c r="C51" s="15">
        <v>273886.82</v>
      </c>
      <c r="D51" s="15">
        <f t="shared" si="0"/>
        <v>28031492</v>
      </c>
      <c r="E51" s="15">
        <v>2175469</v>
      </c>
      <c r="F51" s="16">
        <v>1778</v>
      </c>
      <c r="G51" s="15">
        <v>175</v>
      </c>
    </row>
    <row r="52" spans="1:7" ht="12.75">
      <c r="A52" s="22">
        <f t="shared" si="2"/>
        <v>40908</v>
      </c>
      <c r="B52" s="15">
        <v>42822729.39</v>
      </c>
      <c r="C52" s="15">
        <v>257855.39</v>
      </c>
      <c r="D52" s="15">
        <f t="shared" si="0"/>
        <v>39302369</v>
      </c>
      <c r="E52" s="15">
        <v>3262505</v>
      </c>
      <c r="F52" s="16">
        <v>1778</v>
      </c>
      <c r="G52" s="15">
        <v>262</v>
      </c>
    </row>
    <row r="53" spans="1:7" ht="12.75">
      <c r="A53" s="22">
        <f t="shared" si="2"/>
        <v>40915</v>
      </c>
      <c r="B53" s="15">
        <v>42084227.52</v>
      </c>
      <c r="C53" s="15">
        <v>311692.52</v>
      </c>
      <c r="D53" s="15">
        <f t="shared" si="0"/>
        <v>38614598</v>
      </c>
      <c r="E53" s="15">
        <v>3157937</v>
      </c>
      <c r="F53" s="16">
        <v>1778</v>
      </c>
      <c r="G53" s="15">
        <v>254</v>
      </c>
    </row>
    <row r="54" spans="1:7" ht="12.75">
      <c r="A54" s="22">
        <f t="shared" si="2"/>
        <v>40922</v>
      </c>
      <c r="B54" s="15">
        <v>31812397.4</v>
      </c>
      <c r="C54" s="15">
        <v>313833.4</v>
      </c>
      <c r="D54" s="15">
        <f t="shared" si="0"/>
        <v>29115842</v>
      </c>
      <c r="E54" s="15">
        <v>2382722</v>
      </c>
      <c r="F54" s="16">
        <v>1778</v>
      </c>
      <c r="G54" s="15">
        <v>191</v>
      </c>
    </row>
    <row r="55" spans="1:7" ht="12.75">
      <c r="A55" s="22">
        <f t="shared" si="2"/>
        <v>40929</v>
      </c>
      <c r="B55" s="15">
        <v>33830086.9</v>
      </c>
      <c r="C55" s="15">
        <v>301486.9</v>
      </c>
      <c r="D55" s="15">
        <f t="shared" si="0"/>
        <v>31039878</v>
      </c>
      <c r="E55" s="15">
        <v>2488722</v>
      </c>
      <c r="F55" s="16">
        <v>1778</v>
      </c>
      <c r="G55" s="15">
        <v>200</v>
      </c>
    </row>
    <row r="56" spans="1:7" ht="12.75">
      <c r="A56" s="22">
        <f t="shared" si="2"/>
        <v>40936</v>
      </c>
      <c r="B56" s="15">
        <v>36507989.26</v>
      </c>
      <c r="C56" s="15">
        <v>308792.26</v>
      </c>
      <c r="D56" s="15">
        <f t="shared" si="0"/>
        <v>33388427</v>
      </c>
      <c r="E56" s="15">
        <v>2810770</v>
      </c>
      <c r="F56" s="16">
        <v>1778</v>
      </c>
      <c r="G56" s="15">
        <v>226</v>
      </c>
    </row>
    <row r="57" spans="1:7" ht="12.75">
      <c r="A57" s="22">
        <f t="shared" si="2"/>
        <v>40943</v>
      </c>
      <c r="B57" s="15">
        <v>40795865.8</v>
      </c>
      <c r="C57" s="15">
        <v>329342.8</v>
      </c>
      <c r="D57" s="15">
        <f t="shared" si="0"/>
        <v>37452447</v>
      </c>
      <c r="E57" s="15">
        <v>3014076</v>
      </c>
      <c r="F57" s="16">
        <v>1778</v>
      </c>
      <c r="G57" s="15">
        <v>242</v>
      </c>
    </row>
    <row r="58" spans="1:7" ht="12.75">
      <c r="A58" s="22">
        <f t="shared" si="2"/>
        <v>40950</v>
      </c>
      <c r="B58" s="15">
        <v>40675856.44</v>
      </c>
      <c r="C58" s="15">
        <v>338113.44</v>
      </c>
      <c r="D58" s="15">
        <f t="shared" si="0"/>
        <v>37245170</v>
      </c>
      <c r="E58" s="15">
        <v>3092573</v>
      </c>
      <c r="F58" s="16">
        <v>1778</v>
      </c>
      <c r="G58" s="15">
        <v>248</v>
      </c>
    </row>
    <row r="59" spans="1:7" ht="12.75">
      <c r="A59" s="22">
        <f t="shared" si="2"/>
        <v>40957</v>
      </c>
      <c r="B59" s="15">
        <v>42661908.42</v>
      </c>
      <c r="C59" s="15">
        <v>297439.42</v>
      </c>
      <c r="D59" s="15">
        <f t="shared" si="0"/>
        <v>39169616</v>
      </c>
      <c r="E59" s="15">
        <v>3194853</v>
      </c>
      <c r="F59" s="16">
        <v>1778</v>
      </c>
      <c r="G59" s="15">
        <v>257</v>
      </c>
    </row>
    <row r="60" spans="1:7" ht="12.75">
      <c r="A60" s="22">
        <f t="shared" si="2"/>
        <v>40964</v>
      </c>
      <c r="B60" s="15">
        <v>44989462.7</v>
      </c>
      <c r="C60" s="15">
        <v>350043.7</v>
      </c>
      <c r="D60" s="15">
        <f t="shared" si="0"/>
        <v>41216375</v>
      </c>
      <c r="E60" s="15">
        <v>3423044</v>
      </c>
      <c r="F60" s="16">
        <v>1778</v>
      </c>
      <c r="G60" s="15">
        <v>275</v>
      </c>
    </row>
    <row r="61" spans="1:7" ht="12.75">
      <c r="A61" s="22">
        <f t="shared" si="2"/>
        <v>40971</v>
      </c>
      <c r="B61" s="15">
        <v>40482489.62</v>
      </c>
      <c r="C61" s="15">
        <v>380536.62</v>
      </c>
      <c r="D61" s="15">
        <f t="shared" si="0"/>
        <v>37046462</v>
      </c>
      <c r="E61" s="15">
        <v>3055491</v>
      </c>
      <c r="F61" s="16">
        <v>1778</v>
      </c>
      <c r="G61" s="15">
        <v>245</v>
      </c>
    </row>
    <row r="62" spans="1:7" ht="12.75">
      <c r="A62" s="22">
        <f t="shared" si="2"/>
        <v>40978</v>
      </c>
      <c r="B62" s="15">
        <v>42262264.79</v>
      </c>
      <c r="C62" s="15">
        <v>366488.79</v>
      </c>
      <c r="D62" s="15">
        <f t="shared" si="0"/>
        <v>38770238</v>
      </c>
      <c r="E62" s="15">
        <v>3125538</v>
      </c>
      <c r="F62" s="16">
        <v>1778</v>
      </c>
      <c r="G62" s="15">
        <v>251</v>
      </c>
    </row>
    <row r="63" spans="1:7" ht="12.75">
      <c r="A63" s="22">
        <f t="shared" si="2"/>
        <v>40985</v>
      </c>
      <c r="B63" s="15">
        <v>41522597.49</v>
      </c>
      <c r="C63" s="15">
        <v>315574.49</v>
      </c>
      <c r="D63" s="15">
        <f t="shared" si="0"/>
        <v>38083113</v>
      </c>
      <c r="E63" s="15">
        <v>3123910</v>
      </c>
      <c r="F63" s="16">
        <v>1778</v>
      </c>
      <c r="G63" s="15">
        <v>251</v>
      </c>
    </row>
    <row r="64" spans="1:7" ht="12.75">
      <c r="A64" s="22">
        <f t="shared" si="2"/>
        <v>40992</v>
      </c>
      <c r="B64" s="15">
        <v>38899545.98</v>
      </c>
      <c r="C64" s="15">
        <v>345566.98</v>
      </c>
      <c r="D64" s="15">
        <f t="shared" si="0"/>
        <v>35637050</v>
      </c>
      <c r="E64" s="15">
        <v>2916929</v>
      </c>
      <c r="F64" s="16">
        <v>1778</v>
      </c>
      <c r="G64" s="15">
        <v>234</v>
      </c>
    </row>
    <row r="65" ht="12.75">
      <c r="A65" s="22"/>
    </row>
    <row r="66" spans="1:7" ht="13.5" thickBot="1">
      <c r="A66" s="3" t="s">
        <v>8</v>
      </c>
      <c r="B66" s="17">
        <f>SUM(B13:B64)</f>
        <v>2073784973.8500004</v>
      </c>
      <c r="C66" s="17">
        <f>SUM(C13:C64)</f>
        <v>16014333.850000001</v>
      </c>
      <c r="D66" s="17">
        <f>SUM(D13:D64)</f>
        <v>1903772549</v>
      </c>
      <c r="E66" s="17">
        <f>SUM(E13:E64)</f>
        <v>153998091</v>
      </c>
      <c r="F66" s="24">
        <f>SUM(F13:F65)/COUNT(F13:F65)</f>
        <v>1778.7527472527472</v>
      </c>
      <c r="G66" s="17">
        <f>+E66/SUM(F13:F65)/7</f>
        <v>237.8473788585038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8" ht="18">
      <c r="A1" s="37" t="s">
        <v>16</v>
      </c>
      <c r="B1" s="37"/>
      <c r="C1" s="37"/>
      <c r="D1" s="37"/>
      <c r="E1" s="37"/>
      <c r="F1" s="37"/>
      <c r="G1" s="26"/>
      <c r="H1" s="26"/>
    </row>
    <row r="2" spans="1:8" ht="15">
      <c r="A2" s="38" t="s">
        <v>17</v>
      </c>
      <c r="B2" s="38"/>
      <c r="C2" s="38"/>
      <c r="D2" s="38"/>
      <c r="E2" s="38"/>
      <c r="F2" s="38"/>
      <c r="G2" s="27"/>
      <c r="H2" s="27"/>
    </row>
    <row r="3" spans="1:8" s="1" customFormat="1" ht="15">
      <c r="A3" s="38" t="s">
        <v>18</v>
      </c>
      <c r="B3" s="38"/>
      <c r="C3" s="38"/>
      <c r="D3" s="38"/>
      <c r="E3" s="38"/>
      <c r="F3" s="38"/>
      <c r="G3" s="27"/>
      <c r="H3" s="27"/>
    </row>
    <row r="4" spans="1:8" s="1" customFormat="1" ht="14.25">
      <c r="A4" s="44" t="s">
        <v>19</v>
      </c>
      <c r="B4" s="44"/>
      <c r="C4" s="44"/>
      <c r="D4" s="44"/>
      <c r="E4" s="44"/>
      <c r="F4" s="44"/>
      <c r="G4" s="28"/>
      <c r="H4" s="28"/>
    </row>
    <row r="5" spans="1:8" s="1" customFormat="1" ht="14.25">
      <c r="A5" s="40" t="s">
        <v>20</v>
      </c>
      <c r="B5" s="40"/>
      <c r="C5" s="40"/>
      <c r="D5" s="40"/>
      <c r="E5" s="40"/>
      <c r="F5" s="40"/>
      <c r="G5" s="29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1" t="s">
        <v>23</v>
      </c>
      <c r="B8" s="42"/>
      <c r="C8" s="42"/>
      <c r="D8" s="42"/>
      <c r="E8" s="42"/>
      <c r="F8" s="43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40271</v>
      </c>
      <c r="B13" s="15">
        <v>30424257</v>
      </c>
      <c r="C13" s="15">
        <f aca="true" t="shared" si="0" ref="C13:C64">+B13-D13</f>
        <v>27768351</v>
      </c>
      <c r="D13" s="15">
        <v>2655906</v>
      </c>
      <c r="E13" s="16">
        <v>1770</v>
      </c>
      <c r="F13" s="15">
        <v>214</v>
      </c>
    </row>
    <row r="14" spans="1:6" ht="12.75">
      <c r="A14" s="22">
        <f>+A13+7</f>
        <v>40278</v>
      </c>
      <c r="B14" s="15">
        <v>32154652</v>
      </c>
      <c r="C14" s="15">
        <f t="shared" si="0"/>
        <v>29516392</v>
      </c>
      <c r="D14" s="15">
        <v>2638260</v>
      </c>
      <c r="E14" s="16">
        <v>1770</v>
      </c>
      <c r="F14" s="15">
        <v>213</v>
      </c>
    </row>
    <row r="15" spans="1:6" ht="12.75">
      <c r="A15" s="22">
        <f aca="true" t="shared" si="1" ref="A15:A64">+A14+7</f>
        <v>40285</v>
      </c>
      <c r="B15" s="15">
        <v>33146428</v>
      </c>
      <c r="C15" s="15">
        <f t="shared" si="0"/>
        <v>30374983</v>
      </c>
      <c r="D15" s="15">
        <v>2771445</v>
      </c>
      <c r="E15" s="16">
        <v>1770</v>
      </c>
      <c r="F15" s="15">
        <v>224</v>
      </c>
    </row>
    <row r="16" spans="1:6" ht="12.75">
      <c r="A16" s="22">
        <f t="shared" si="1"/>
        <v>40292</v>
      </c>
      <c r="B16" s="15">
        <v>34289916</v>
      </c>
      <c r="C16" s="15">
        <f t="shared" si="0"/>
        <v>31425148</v>
      </c>
      <c r="D16" s="15">
        <v>2864768</v>
      </c>
      <c r="E16" s="16">
        <v>1770</v>
      </c>
      <c r="F16" s="15">
        <v>231</v>
      </c>
    </row>
    <row r="17" spans="1:6" ht="12.75">
      <c r="A17" s="22">
        <f t="shared" si="1"/>
        <v>40299</v>
      </c>
      <c r="B17" s="15">
        <v>31844186</v>
      </c>
      <c r="C17" s="15">
        <f t="shared" si="0"/>
        <v>29093873</v>
      </c>
      <c r="D17" s="15">
        <v>2750313</v>
      </c>
      <c r="E17" s="16">
        <v>1770</v>
      </c>
      <c r="F17" s="15">
        <v>222</v>
      </c>
    </row>
    <row r="18" spans="1:6" ht="12.75">
      <c r="A18" s="22">
        <f t="shared" si="1"/>
        <v>40306</v>
      </c>
      <c r="B18" s="15">
        <v>31659752</v>
      </c>
      <c r="C18" s="15">
        <f t="shared" si="0"/>
        <v>29007020</v>
      </c>
      <c r="D18" s="15">
        <v>2652732</v>
      </c>
      <c r="E18" s="16">
        <v>1770</v>
      </c>
      <c r="F18" s="15">
        <v>214</v>
      </c>
    </row>
    <row r="19" spans="1:6" ht="12.75">
      <c r="A19" s="22">
        <f t="shared" si="1"/>
        <v>40313</v>
      </c>
      <c r="B19" s="15">
        <v>33611218</v>
      </c>
      <c r="C19" s="15">
        <f t="shared" si="0"/>
        <v>30822440</v>
      </c>
      <c r="D19" s="15">
        <v>2788778</v>
      </c>
      <c r="E19" s="16">
        <v>1770</v>
      </c>
      <c r="F19" s="15">
        <v>225</v>
      </c>
    </row>
    <row r="20" spans="1:6" ht="12.75">
      <c r="A20" s="22">
        <f t="shared" si="1"/>
        <v>40320</v>
      </c>
      <c r="B20" s="15">
        <v>30293340</v>
      </c>
      <c r="C20" s="15">
        <f t="shared" si="0"/>
        <v>27645165</v>
      </c>
      <c r="D20" s="15">
        <v>2648175</v>
      </c>
      <c r="E20" s="16">
        <v>1770</v>
      </c>
      <c r="F20" s="15">
        <v>214</v>
      </c>
    </row>
    <row r="21" spans="1:6" ht="12.75">
      <c r="A21" s="22">
        <f t="shared" si="1"/>
        <v>40327</v>
      </c>
      <c r="B21" s="15">
        <v>32568437</v>
      </c>
      <c r="C21" s="15">
        <f t="shared" si="0"/>
        <v>29796833</v>
      </c>
      <c r="D21" s="15">
        <v>2771604</v>
      </c>
      <c r="E21" s="16">
        <v>1770</v>
      </c>
      <c r="F21" s="15">
        <v>224</v>
      </c>
    </row>
    <row r="22" spans="1:6" ht="12.75">
      <c r="A22" s="22">
        <f t="shared" si="1"/>
        <v>40334</v>
      </c>
      <c r="B22" s="15">
        <v>32600854</v>
      </c>
      <c r="C22" s="15">
        <f t="shared" si="0"/>
        <v>29867109</v>
      </c>
      <c r="D22" s="15">
        <v>2733745</v>
      </c>
      <c r="E22" s="16">
        <v>1770</v>
      </c>
      <c r="F22" s="15">
        <v>221</v>
      </c>
    </row>
    <row r="23" spans="1:6" ht="12.75">
      <c r="A23" s="22">
        <f t="shared" si="1"/>
        <v>40341</v>
      </c>
      <c r="B23" s="15">
        <v>33385067</v>
      </c>
      <c r="C23" s="15">
        <f t="shared" si="0"/>
        <v>30461916</v>
      </c>
      <c r="D23" s="15">
        <v>2923151</v>
      </c>
      <c r="E23" s="16">
        <v>1770</v>
      </c>
      <c r="F23" s="15">
        <v>236</v>
      </c>
    </row>
    <row r="24" spans="1:6" ht="12.75">
      <c r="A24" s="22">
        <f t="shared" si="1"/>
        <v>40348</v>
      </c>
      <c r="B24" s="15">
        <v>30544854</v>
      </c>
      <c r="C24" s="15">
        <f t="shared" si="0"/>
        <v>28028787</v>
      </c>
      <c r="D24" s="15">
        <v>2516067</v>
      </c>
      <c r="E24" s="16">
        <v>1770</v>
      </c>
      <c r="F24" s="15">
        <v>203</v>
      </c>
    </row>
    <row r="25" spans="1:6" ht="12.75">
      <c r="A25" s="22">
        <f t="shared" si="1"/>
        <v>40355</v>
      </c>
      <c r="B25" s="15">
        <v>31682765</v>
      </c>
      <c r="C25" s="15">
        <f t="shared" si="0"/>
        <v>29041642</v>
      </c>
      <c r="D25" s="15">
        <v>2641123</v>
      </c>
      <c r="E25" s="16">
        <v>1770</v>
      </c>
      <c r="F25" s="15">
        <v>213</v>
      </c>
    </row>
    <row r="26" spans="1:6" ht="12.75">
      <c r="A26" s="22">
        <f t="shared" si="1"/>
        <v>40362</v>
      </c>
      <c r="B26" s="15">
        <v>33409615</v>
      </c>
      <c r="C26" s="15">
        <f t="shared" si="0"/>
        <v>30699363</v>
      </c>
      <c r="D26" s="15">
        <v>2710252</v>
      </c>
      <c r="E26" s="16">
        <v>1770</v>
      </c>
      <c r="F26" s="15">
        <v>219</v>
      </c>
    </row>
    <row r="27" spans="1:6" ht="12.75">
      <c r="A27" s="22">
        <f t="shared" si="1"/>
        <v>40369</v>
      </c>
      <c r="B27" s="15">
        <v>36017892</v>
      </c>
      <c r="C27" s="15">
        <f t="shared" si="0"/>
        <v>33054574</v>
      </c>
      <c r="D27" s="15">
        <v>2963318</v>
      </c>
      <c r="E27" s="16">
        <v>1770</v>
      </c>
      <c r="F27" s="15">
        <v>239</v>
      </c>
    </row>
    <row r="28" spans="1:6" ht="12.75">
      <c r="A28" s="22">
        <f t="shared" si="1"/>
        <v>40376</v>
      </c>
      <c r="B28" s="15">
        <v>34236175</v>
      </c>
      <c r="C28" s="15">
        <f t="shared" si="0"/>
        <v>31376229</v>
      </c>
      <c r="D28" s="15">
        <v>2859946</v>
      </c>
      <c r="E28" s="16">
        <v>1770</v>
      </c>
      <c r="F28" s="15">
        <v>231</v>
      </c>
    </row>
    <row r="29" spans="1:6" ht="12.75">
      <c r="A29" s="22">
        <f t="shared" si="1"/>
        <v>40383</v>
      </c>
      <c r="B29" s="15">
        <v>34424073</v>
      </c>
      <c r="C29" s="15">
        <f t="shared" si="0"/>
        <v>31677483</v>
      </c>
      <c r="D29" s="15">
        <v>2746590</v>
      </c>
      <c r="E29" s="16">
        <v>1770</v>
      </c>
      <c r="F29" s="15">
        <v>222</v>
      </c>
    </row>
    <row r="30" spans="1:6" ht="12.75">
      <c r="A30" s="22">
        <f t="shared" si="1"/>
        <v>40390</v>
      </c>
      <c r="B30" s="15">
        <v>37599773</v>
      </c>
      <c r="C30" s="15">
        <f t="shared" si="0"/>
        <v>34505290</v>
      </c>
      <c r="D30" s="15">
        <v>3094483</v>
      </c>
      <c r="E30" s="16">
        <v>1770</v>
      </c>
      <c r="F30" s="15">
        <v>250</v>
      </c>
    </row>
    <row r="31" spans="1:6" ht="12.75">
      <c r="A31" s="22">
        <f t="shared" si="1"/>
        <v>40397</v>
      </c>
      <c r="B31" s="15">
        <v>35763933</v>
      </c>
      <c r="C31" s="15">
        <f t="shared" si="0"/>
        <v>32811310</v>
      </c>
      <c r="D31" s="15">
        <v>2952623</v>
      </c>
      <c r="E31" s="16">
        <v>1770</v>
      </c>
      <c r="F31" s="15">
        <v>238</v>
      </c>
    </row>
    <row r="32" spans="1:6" ht="12.75">
      <c r="A32" s="22">
        <f t="shared" si="1"/>
        <v>40404</v>
      </c>
      <c r="B32" s="15">
        <v>36376211</v>
      </c>
      <c r="C32" s="15">
        <f t="shared" si="0"/>
        <v>33304168</v>
      </c>
      <c r="D32" s="15">
        <v>3072043</v>
      </c>
      <c r="E32" s="16">
        <v>1770</v>
      </c>
      <c r="F32" s="15">
        <v>248</v>
      </c>
    </row>
    <row r="33" spans="1:6" ht="12.75">
      <c r="A33" s="22">
        <f t="shared" si="1"/>
        <v>40411</v>
      </c>
      <c r="B33" s="15">
        <v>37366147</v>
      </c>
      <c r="C33" s="15">
        <f t="shared" si="0"/>
        <v>34221147</v>
      </c>
      <c r="D33" s="15">
        <v>3145000</v>
      </c>
      <c r="E33" s="16">
        <v>1770</v>
      </c>
      <c r="F33" s="15">
        <v>254</v>
      </c>
    </row>
    <row r="34" spans="1:6" ht="12.75">
      <c r="A34" s="22">
        <f t="shared" si="1"/>
        <v>40418</v>
      </c>
      <c r="B34" s="15">
        <v>36278799</v>
      </c>
      <c r="C34" s="15">
        <f t="shared" si="0"/>
        <v>33327507</v>
      </c>
      <c r="D34" s="15">
        <v>2951292</v>
      </c>
      <c r="E34" s="16">
        <v>1770</v>
      </c>
      <c r="F34" s="15">
        <v>238</v>
      </c>
    </row>
    <row r="35" spans="1:6" ht="12.75">
      <c r="A35" s="22">
        <f t="shared" si="1"/>
        <v>40425</v>
      </c>
      <c r="B35" s="15">
        <v>39306116</v>
      </c>
      <c r="C35" s="15">
        <f t="shared" si="0"/>
        <v>36031648</v>
      </c>
      <c r="D35" s="15">
        <v>3274468</v>
      </c>
      <c r="E35" s="16">
        <v>1770</v>
      </c>
      <c r="F35" s="15">
        <v>264</v>
      </c>
    </row>
    <row r="36" spans="1:6" ht="12.75">
      <c r="A36" s="22">
        <f t="shared" si="1"/>
        <v>40432</v>
      </c>
      <c r="B36" s="15">
        <v>33884051</v>
      </c>
      <c r="C36" s="15">
        <f t="shared" si="0"/>
        <v>30910176</v>
      </c>
      <c r="D36" s="15">
        <v>2973875</v>
      </c>
      <c r="E36" s="16">
        <v>1770</v>
      </c>
      <c r="F36" s="15">
        <v>240</v>
      </c>
    </row>
    <row r="37" spans="1:6" ht="12.75">
      <c r="A37" s="22">
        <f t="shared" si="1"/>
        <v>40439</v>
      </c>
      <c r="B37" s="15">
        <v>31580471</v>
      </c>
      <c r="C37" s="15">
        <f t="shared" si="0"/>
        <v>28855196</v>
      </c>
      <c r="D37" s="15">
        <v>2725275</v>
      </c>
      <c r="E37" s="16">
        <v>1770</v>
      </c>
      <c r="F37" s="15">
        <v>220</v>
      </c>
    </row>
    <row r="38" spans="1:6" ht="12.75">
      <c r="A38" s="22">
        <f t="shared" si="1"/>
        <v>40446</v>
      </c>
      <c r="B38" s="15">
        <v>31048114</v>
      </c>
      <c r="C38" s="15">
        <f t="shared" si="0"/>
        <v>28521821</v>
      </c>
      <c r="D38" s="15">
        <v>2526293</v>
      </c>
      <c r="E38" s="16">
        <v>1781</v>
      </c>
      <c r="F38" s="15">
        <v>203</v>
      </c>
    </row>
    <row r="39" spans="1:6" ht="12.75">
      <c r="A39" s="22">
        <f t="shared" si="1"/>
        <v>40453</v>
      </c>
      <c r="B39" s="15">
        <v>35066633</v>
      </c>
      <c r="C39" s="15">
        <f t="shared" si="0"/>
        <v>32134703</v>
      </c>
      <c r="D39" s="15">
        <v>2931930</v>
      </c>
      <c r="E39" s="16">
        <v>1790</v>
      </c>
      <c r="F39" s="15">
        <v>234</v>
      </c>
    </row>
    <row r="40" spans="1:6" ht="12.75">
      <c r="A40" s="22">
        <f t="shared" si="1"/>
        <v>40460</v>
      </c>
      <c r="B40" s="15">
        <v>32762184</v>
      </c>
      <c r="C40" s="15">
        <f t="shared" si="0"/>
        <v>30097538</v>
      </c>
      <c r="D40" s="15">
        <v>2664646</v>
      </c>
      <c r="E40" s="16">
        <v>1790</v>
      </c>
      <c r="F40" s="15">
        <v>213</v>
      </c>
    </row>
    <row r="41" spans="1:6" ht="12.75">
      <c r="A41" s="22">
        <f t="shared" si="1"/>
        <v>40467</v>
      </c>
      <c r="B41" s="15">
        <v>33413505</v>
      </c>
      <c r="C41" s="15">
        <f t="shared" si="0"/>
        <v>30533316</v>
      </c>
      <c r="D41" s="15">
        <v>2880189</v>
      </c>
      <c r="E41" s="16">
        <v>1790</v>
      </c>
      <c r="F41" s="15">
        <v>230</v>
      </c>
    </row>
    <row r="42" spans="1:6" ht="12.75">
      <c r="A42" s="22">
        <f t="shared" si="1"/>
        <v>40474</v>
      </c>
      <c r="B42" s="15">
        <v>29906546</v>
      </c>
      <c r="C42" s="15">
        <f t="shared" si="0"/>
        <v>27521817</v>
      </c>
      <c r="D42" s="15">
        <v>2384729</v>
      </c>
      <c r="E42" s="16">
        <v>1790</v>
      </c>
      <c r="F42" s="15">
        <v>190</v>
      </c>
    </row>
    <row r="43" spans="1:6" ht="12.75">
      <c r="A43" s="22">
        <f t="shared" si="1"/>
        <v>40481</v>
      </c>
      <c r="B43" s="15">
        <v>32835873</v>
      </c>
      <c r="C43" s="15">
        <f t="shared" si="0"/>
        <v>30127326</v>
      </c>
      <c r="D43" s="15">
        <v>2708547</v>
      </c>
      <c r="E43" s="16">
        <v>1790</v>
      </c>
      <c r="F43" s="15">
        <v>216</v>
      </c>
    </row>
    <row r="44" spans="1:6" ht="12.75">
      <c r="A44" s="22">
        <f t="shared" si="1"/>
        <v>40488</v>
      </c>
      <c r="B44" s="15">
        <v>31817499</v>
      </c>
      <c r="C44" s="15">
        <f t="shared" si="0"/>
        <v>29273773</v>
      </c>
      <c r="D44" s="15">
        <v>2543726</v>
      </c>
      <c r="E44" s="16">
        <v>1790</v>
      </c>
      <c r="F44" s="15">
        <v>203</v>
      </c>
    </row>
    <row r="45" spans="1:6" ht="12.75">
      <c r="A45" s="22">
        <f t="shared" si="1"/>
        <v>40495</v>
      </c>
      <c r="B45" s="15">
        <v>31155914</v>
      </c>
      <c r="C45" s="15">
        <f t="shared" si="0"/>
        <v>28630376</v>
      </c>
      <c r="D45" s="15">
        <v>2525538</v>
      </c>
      <c r="E45" s="16">
        <v>1787</v>
      </c>
      <c r="F45" s="15">
        <v>202</v>
      </c>
    </row>
    <row r="46" spans="1:6" ht="12.75">
      <c r="A46" s="22">
        <f t="shared" si="1"/>
        <v>40502</v>
      </c>
      <c r="B46" s="15">
        <v>29573150</v>
      </c>
      <c r="C46" s="15">
        <f t="shared" si="0"/>
        <v>27204260</v>
      </c>
      <c r="D46" s="15">
        <v>2368890</v>
      </c>
      <c r="E46" s="16">
        <v>1790</v>
      </c>
      <c r="F46" s="15">
        <v>189</v>
      </c>
    </row>
    <row r="47" spans="1:6" ht="12.75">
      <c r="A47" s="22">
        <f t="shared" si="1"/>
        <v>40509</v>
      </c>
      <c r="B47" s="15">
        <v>31038002</v>
      </c>
      <c r="C47" s="15">
        <f t="shared" si="0"/>
        <v>28366646</v>
      </c>
      <c r="D47" s="15">
        <v>2671356</v>
      </c>
      <c r="E47" s="16">
        <v>1790</v>
      </c>
      <c r="F47" s="15">
        <v>213</v>
      </c>
    </row>
    <row r="48" spans="1:6" ht="12.75">
      <c r="A48" s="22">
        <f t="shared" si="1"/>
        <v>40516</v>
      </c>
      <c r="B48" s="15">
        <v>28194135</v>
      </c>
      <c r="C48" s="15">
        <f t="shared" si="0"/>
        <v>25800954</v>
      </c>
      <c r="D48" s="15">
        <v>2393181</v>
      </c>
      <c r="E48" s="16">
        <v>1790</v>
      </c>
      <c r="F48" s="15">
        <v>191</v>
      </c>
    </row>
    <row r="49" spans="1:6" ht="12.75">
      <c r="A49" s="22">
        <f t="shared" si="1"/>
        <v>40523</v>
      </c>
      <c r="B49" s="15">
        <v>26963479</v>
      </c>
      <c r="C49" s="15">
        <f t="shared" si="0"/>
        <v>24729725</v>
      </c>
      <c r="D49" s="15">
        <v>2233754</v>
      </c>
      <c r="E49" s="16">
        <v>1790</v>
      </c>
      <c r="F49" s="15">
        <v>178</v>
      </c>
    </row>
    <row r="50" spans="1:6" ht="12.75">
      <c r="A50" s="22">
        <f t="shared" si="1"/>
        <v>40530</v>
      </c>
      <c r="B50" s="15">
        <v>24729019</v>
      </c>
      <c r="C50" s="15">
        <f t="shared" si="0"/>
        <v>22678996</v>
      </c>
      <c r="D50" s="15">
        <v>2050023</v>
      </c>
      <c r="E50" s="16">
        <v>1790</v>
      </c>
      <c r="F50" s="15">
        <v>164</v>
      </c>
    </row>
    <row r="51" spans="1:6" ht="12.75">
      <c r="A51" s="22">
        <f t="shared" si="1"/>
        <v>40537</v>
      </c>
      <c r="B51" s="15">
        <v>23429714</v>
      </c>
      <c r="C51" s="15">
        <f t="shared" si="0"/>
        <v>21613601</v>
      </c>
      <c r="D51" s="15">
        <v>1816113</v>
      </c>
      <c r="E51" s="16">
        <v>1790</v>
      </c>
      <c r="F51" s="15">
        <v>145</v>
      </c>
    </row>
    <row r="52" spans="1:6" ht="12.75">
      <c r="A52" s="22">
        <f t="shared" si="1"/>
        <v>40544</v>
      </c>
      <c r="B52" s="15">
        <v>38212922</v>
      </c>
      <c r="C52" s="15">
        <f t="shared" si="0"/>
        <v>35011494</v>
      </c>
      <c r="D52" s="15">
        <v>3201428</v>
      </c>
      <c r="E52" s="16">
        <v>1790</v>
      </c>
      <c r="F52" s="15">
        <v>256</v>
      </c>
    </row>
    <row r="53" spans="1:6" ht="12.75">
      <c r="A53" s="22">
        <f t="shared" si="1"/>
        <v>40551</v>
      </c>
      <c r="B53" s="15">
        <v>27028917</v>
      </c>
      <c r="C53" s="15">
        <f t="shared" si="0"/>
        <v>24787530</v>
      </c>
      <c r="D53" s="15">
        <v>2241387</v>
      </c>
      <c r="E53" s="16">
        <v>1790</v>
      </c>
      <c r="F53" s="15">
        <v>179</v>
      </c>
    </row>
    <row r="54" spans="1:6" ht="12.75">
      <c r="A54" s="22">
        <f t="shared" si="1"/>
        <v>40558</v>
      </c>
      <c r="B54" s="15">
        <v>25984863</v>
      </c>
      <c r="C54" s="15">
        <f t="shared" si="0"/>
        <v>23872664</v>
      </c>
      <c r="D54" s="15">
        <v>2112199</v>
      </c>
      <c r="E54" s="16">
        <v>1790</v>
      </c>
      <c r="F54" s="15">
        <v>169</v>
      </c>
    </row>
    <row r="55" spans="1:6" ht="12.75">
      <c r="A55" s="22">
        <f t="shared" si="1"/>
        <v>40565</v>
      </c>
      <c r="B55" s="15">
        <v>27957633</v>
      </c>
      <c r="C55" s="15">
        <f t="shared" si="0"/>
        <v>25709323</v>
      </c>
      <c r="D55" s="15">
        <v>2248310</v>
      </c>
      <c r="E55" s="16">
        <v>1790</v>
      </c>
      <c r="F55" s="15">
        <v>179</v>
      </c>
    </row>
    <row r="56" spans="1:6" ht="12.75">
      <c r="A56" s="22">
        <f t="shared" si="1"/>
        <v>40572</v>
      </c>
      <c r="B56" s="15">
        <v>31813893</v>
      </c>
      <c r="C56" s="15">
        <f t="shared" si="0"/>
        <v>29204012</v>
      </c>
      <c r="D56" s="15">
        <v>2609881</v>
      </c>
      <c r="E56" s="16">
        <v>1790</v>
      </c>
      <c r="F56" s="15">
        <v>208</v>
      </c>
    </row>
    <row r="57" spans="1:6" ht="12.75">
      <c r="A57" s="22">
        <f t="shared" si="1"/>
        <v>40579</v>
      </c>
      <c r="B57" s="15">
        <v>26752853</v>
      </c>
      <c r="C57" s="15">
        <f t="shared" si="0"/>
        <v>24547705</v>
      </c>
      <c r="D57" s="15">
        <v>2205148</v>
      </c>
      <c r="E57" s="16">
        <v>1790</v>
      </c>
      <c r="F57" s="15">
        <v>176</v>
      </c>
    </row>
    <row r="58" spans="1:6" ht="12.75">
      <c r="A58" s="22">
        <f t="shared" si="1"/>
        <v>40586</v>
      </c>
      <c r="B58" s="15">
        <v>33039834</v>
      </c>
      <c r="C58" s="15">
        <f t="shared" si="0"/>
        <v>30336841</v>
      </c>
      <c r="D58" s="15">
        <v>2702993</v>
      </c>
      <c r="E58" s="16">
        <v>1790</v>
      </c>
      <c r="F58" s="15">
        <v>216</v>
      </c>
    </row>
    <row r="59" spans="1:6" ht="12.75">
      <c r="A59" s="22">
        <f t="shared" si="1"/>
        <v>40593</v>
      </c>
      <c r="B59" s="15">
        <v>35858693</v>
      </c>
      <c r="C59" s="15">
        <f t="shared" si="0"/>
        <v>32888947</v>
      </c>
      <c r="D59" s="15">
        <v>2969746</v>
      </c>
      <c r="E59" s="16">
        <v>1790</v>
      </c>
      <c r="F59" s="15">
        <v>237</v>
      </c>
    </row>
    <row r="60" spans="1:6" ht="12.75">
      <c r="A60" s="22">
        <f t="shared" si="1"/>
        <v>40600</v>
      </c>
      <c r="B60" s="15">
        <v>35411699</v>
      </c>
      <c r="C60" s="15">
        <f t="shared" si="0"/>
        <v>32533066</v>
      </c>
      <c r="D60" s="15">
        <v>2878633</v>
      </c>
      <c r="E60" s="16">
        <v>1790</v>
      </c>
      <c r="F60" s="15">
        <v>230</v>
      </c>
    </row>
    <row r="61" spans="1:6" ht="12.75">
      <c r="A61" s="22">
        <f t="shared" si="1"/>
        <v>40607</v>
      </c>
      <c r="B61" s="15">
        <v>36546819</v>
      </c>
      <c r="C61" s="15">
        <f t="shared" si="0"/>
        <v>33445516</v>
      </c>
      <c r="D61" s="15">
        <v>3101303</v>
      </c>
      <c r="E61" s="16">
        <v>1790</v>
      </c>
      <c r="F61" s="15">
        <v>248</v>
      </c>
    </row>
    <row r="62" spans="1:6" ht="12.75">
      <c r="A62" s="22">
        <f t="shared" si="1"/>
        <v>40614</v>
      </c>
      <c r="B62" s="15">
        <v>31212079</v>
      </c>
      <c r="C62" s="15">
        <f t="shared" si="0"/>
        <v>28647274</v>
      </c>
      <c r="D62" s="15">
        <v>2564805</v>
      </c>
      <c r="E62" s="16">
        <v>1790</v>
      </c>
      <c r="F62" s="15">
        <v>205</v>
      </c>
    </row>
    <row r="63" spans="1:6" ht="12.75">
      <c r="A63" s="22">
        <f t="shared" si="1"/>
        <v>40621</v>
      </c>
      <c r="B63" s="15">
        <v>36812861</v>
      </c>
      <c r="C63" s="15">
        <f t="shared" si="0"/>
        <v>33772323</v>
      </c>
      <c r="D63" s="15">
        <v>3040538</v>
      </c>
      <c r="E63" s="16">
        <v>1790</v>
      </c>
      <c r="F63" s="15">
        <v>243</v>
      </c>
    </row>
    <row r="64" spans="1:6" ht="12.75">
      <c r="A64" s="22">
        <f t="shared" si="1"/>
        <v>40628</v>
      </c>
      <c r="B64" s="15">
        <v>33967262</v>
      </c>
      <c r="C64" s="15">
        <f t="shared" si="0"/>
        <v>31273843</v>
      </c>
      <c r="D64" s="15">
        <v>2693419</v>
      </c>
      <c r="E64" s="16">
        <v>1790</v>
      </c>
      <c r="F64" s="15">
        <v>215</v>
      </c>
    </row>
    <row r="65" ht="12.75">
      <c r="A65" s="22"/>
    </row>
    <row r="66" spans="1:6" ht="13.5" thickBot="1">
      <c r="A66" s="3" t="s">
        <v>8</v>
      </c>
      <c r="B66" s="17">
        <f>SUM(B13:B64)</f>
        <v>1686983077</v>
      </c>
      <c r="C66" s="17">
        <f>SUM(C13:C64)</f>
        <v>1546889140</v>
      </c>
      <c r="D66" s="17">
        <f>SUM(D13:D64)</f>
        <v>140093937</v>
      </c>
      <c r="E66" s="24">
        <f>SUM(E13:E65)/COUNT(E13:E65)</f>
        <v>1780.1538461538462</v>
      </c>
      <c r="F66" s="17">
        <f>+D66/SUM(E13:E65)/7</f>
        <v>216.20235471684137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57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4" width="15.57421875" style="15" customWidth="1"/>
    <col min="5" max="5" width="15.57421875" style="16" customWidth="1"/>
    <col min="6" max="6" width="15.57421875" style="15" customWidth="1"/>
  </cols>
  <sheetData>
    <row r="1" spans="1:8" ht="18">
      <c r="A1" s="37" t="s">
        <v>16</v>
      </c>
      <c r="B1" s="37"/>
      <c r="C1" s="37"/>
      <c r="D1" s="37"/>
      <c r="E1" s="37"/>
      <c r="F1" s="37"/>
      <c r="G1" s="26"/>
      <c r="H1" s="26"/>
    </row>
    <row r="2" spans="1:8" ht="15">
      <c r="A2" s="38" t="s">
        <v>17</v>
      </c>
      <c r="B2" s="38"/>
      <c r="C2" s="38"/>
      <c r="D2" s="38"/>
      <c r="E2" s="38"/>
      <c r="F2" s="38"/>
      <c r="G2" s="27"/>
      <c r="H2" s="27"/>
    </row>
    <row r="3" spans="1:8" s="1" customFormat="1" ht="15">
      <c r="A3" s="38" t="s">
        <v>18</v>
      </c>
      <c r="B3" s="38"/>
      <c r="C3" s="38"/>
      <c r="D3" s="38"/>
      <c r="E3" s="38"/>
      <c r="F3" s="38"/>
      <c r="G3" s="27"/>
      <c r="H3" s="27"/>
    </row>
    <row r="4" spans="1:8" s="1" customFormat="1" ht="14.25">
      <c r="A4" s="44" t="s">
        <v>19</v>
      </c>
      <c r="B4" s="44"/>
      <c r="C4" s="44"/>
      <c r="D4" s="44"/>
      <c r="E4" s="44"/>
      <c r="F4" s="44"/>
      <c r="G4" s="28"/>
      <c r="H4" s="28"/>
    </row>
    <row r="5" spans="1:8" s="1" customFormat="1" ht="14.25">
      <c r="A5" s="40" t="s">
        <v>20</v>
      </c>
      <c r="B5" s="40"/>
      <c r="C5" s="40"/>
      <c r="D5" s="40"/>
      <c r="E5" s="40"/>
      <c r="F5" s="40"/>
      <c r="G5" s="29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1" t="s">
        <v>10</v>
      </c>
      <c r="B8" s="42"/>
      <c r="C8" s="42"/>
      <c r="D8" s="42"/>
      <c r="E8" s="42"/>
      <c r="F8" s="43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39907</v>
      </c>
      <c r="B13" s="15">
        <v>32180332.700000003</v>
      </c>
      <c r="C13" s="15">
        <f>+B13-D13</f>
        <v>29447099.240000002</v>
      </c>
      <c r="D13" s="15">
        <v>2733233.46</v>
      </c>
      <c r="E13" s="16">
        <v>1770</v>
      </c>
      <c r="F13" s="15">
        <v>220.5999564164649</v>
      </c>
    </row>
    <row r="14" spans="1:6" ht="12.75">
      <c r="A14" s="22">
        <v>39914</v>
      </c>
      <c r="B14" s="15">
        <v>31852365.059999995</v>
      </c>
      <c r="C14" s="15">
        <f aca="true" t="shared" si="0" ref="C14:C64">+B14-D14</f>
        <v>29125699.129999995</v>
      </c>
      <c r="D14" s="15">
        <v>2726665.93</v>
      </c>
      <c r="E14" s="16">
        <v>1770</v>
      </c>
      <c r="F14" s="15">
        <v>220.0698894269572</v>
      </c>
    </row>
    <row r="15" spans="1:6" ht="12.75">
      <c r="A15" s="22">
        <v>39921</v>
      </c>
      <c r="B15" s="15">
        <v>31891311.84</v>
      </c>
      <c r="C15" s="15">
        <f t="shared" si="0"/>
        <v>29140970.46</v>
      </c>
      <c r="D15" s="15">
        <v>2750341.38</v>
      </c>
      <c r="E15" s="16">
        <v>1770</v>
      </c>
      <c r="F15" s="15">
        <v>221.98074092009685</v>
      </c>
    </row>
    <row r="16" spans="1:6" ht="12.75">
      <c r="A16" s="22">
        <v>39928</v>
      </c>
      <c r="B16" s="15">
        <v>31176966.01</v>
      </c>
      <c r="C16" s="15">
        <f t="shared" si="0"/>
        <v>28514866.14</v>
      </c>
      <c r="D16" s="15">
        <v>2662099.87</v>
      </c>
      <c r="E16" s="16">
        <v>1770</v>
      </c>
      <c r="F16" s="15">
        <v>214.85874656981437</v>
      </c>
    </row>
    <row r="17" spans="1:6" ht="12.75">
      <c r="A17" s="22">
        <v>39935</v>
      </c>
      <c r="B17" s="15">
        <v>31182665.3</v>
      </c>
      <c r="C17" s="15">
        <f t="shared" si="0"/>
        <v>28643685.330000002</v>
      </c>
      <c r="D17" s="15">
        <v>2538979.97</v>
      </c>
      <c r="E17" s="16">
        <v>1770</v>
      </c>
      <c r="F17" s="15">
        <v>204.9217086359968</v>
      </c>
    </row>
    <row r="18" spans="1:6" ht="12.75">
      <c r="A18" s="22">
        <v>39942</v>
      </c>
      <c r="B18" s="15">
        <v>31216680.49</v>
      </c>
      <c r="C18" s="15">
        <f t="shared" si="0"/>
        <v>28631019.18</v>
      </c>
      <c r="D18" s="15">
        <v>2585661.31</v>
      </c>
      <c r="E18" s="16">
        <v>1770</v>
      </c>
      <c r="F18" s="15">
        <v>208.68937126715093</v>
      </c>
    </row>
    <row r="19" spans="1:6" ht="12.75">
      <c r="A19" s="22">
        <v>39949</v>
      </c>
      <c r="B19" s="15">
        <v>32611086.660000004</v>
      </c>
      <c r="C19" s="15">
        <f t="shared" si="0"/>
        <v>29731411.100000005</v>
      </c>
      <c r="D19" s="15">
        <v>2879675.56</v>
      </c>
      <c r="E19" s="16">
        <v>1770</v>
      </c>
      <c r="F19" s="15">
        <v>232.41933494753832</v>
      </c>
    </row>
    <row r="20" spans="1:6" ht="12.75">
      <c r="A20" s="22">
        <v>39956</v>
      </c>
      <c r="B20" s="15">
        <v>29714319.790000003</v>
      </c>
      <c r="C20" s="15">
        <f t="shared" si="0"/>
        <v>27243275.67</v>
      </c>
      <c r="D20" s="15">
        <v>2471044.12</v>
      </c>
      <c r="E20" s="16">
        <v>1770</v>
      </c>
      <c r="F20" s="15">
        <v>199.43858918482653</v>
      </c>
    </row>
    <row r="21" spans="1:6" ht="12.75">
      <c r="A21" s="22">
        <v>39963</v>
      </c>
      <c r="B21" s="15">
        <v>36345268.83</v>
      </c>
      <c r="C21" s="15">
        <f t="shared" si="0"/>
        <v>33269423.08</v>
      </c>
      <c r="D21" s="15">
        <v>3075845.75</v>
      </c>
      <c r="E21" s="16">
        <v>1770</v>
      </c>
      <c r="F21" s="15">
        <v>248.2522800645682</v>
      </c>
    </row>
    <row r="22" spans="1:6" ht="12.75">
      <c r="A22" s="22">
        <v>39970</v>
      </c>
      <c r="B22" s="15">
        <v>32397464.419999998</v>
      </c>
      <c r="C22" s="15">
        <f t="shared" si="0"/>
        <v>29525827.159999996</v>
      </c>
      <c r="D22" s="15">
        <v>2871637.26</v>
      </c>
      <c r="E22" s="16">
        <v>1770</v>
      </c>
      <c r="F22" s="15">
        <v>231.77056174334137</v>
      </c>
    </row>
    <row r="23" spans="1:6" ht="12.75">
      <c r="A23" s="22">
        <v>39977</v>
      </c>
      <c r="B23" s="15">
        <v>31010069.59</v>
      </c>
      <c r="C23" s="15">
        <f t="shared" si="0"/>
        <v>28344404.13</v>
      </c>
      <c r="D23" s="15">
        <v>2665665.46</v>
      </c>
      <c r="E23" s="16">
        <v>1770</v>
      </c>
      <c r="F23" s="15">
        <v>215.14652623083134</v>
      </c>
    </row>
    <row r="24" spans="1:6" ht="12.75">
      <c r="A24" s="22">
        <v>39984</v>
      </c>
      <c r="B24" s="15">
        <v>30955205.65</v>
      </c>
      <c r="C24" s="15">
        <f t="shared" si="0"/>
        <v>28311779.349999998</v>
      </c>
      <c r="D24" s="15">
        <v>2643426.3</v>
      </c>
      <c r="E24" s="16">
        <v>1770</v>
      </c>
      <c r="F24" s="15">
        <v>213.35159806295403</v>
      </c>
    </row>
    <row r="25" spans="1:6" ht="12.75">
      <c r="A25" s="22">
        <v>39991</v>
      </c>
      <c r="B25" s="15">
        <v>31548456.609999996</v>
      </c>
      <c r="C25" s="15">
        <f t="shared" si="0"/>
        <v>28827178.349999994</v>
      </c>
      <c r="D25" s="15">
        <v>2721278.26</v>
      </c>
      <c r="E25" s="16">
        <v>1770</v>
      </c>
      <c r="F25" s="15">
        <v>219.6350492332526</v>
      </c>
    </row>
    <row r="26" spans="1:6" ht="12.75">
      <c r="A26" s="22">
        <v>39998</v>
      </c>
      <c r="B26" s="15">
        <v>33813993.51</v>
      </c>
      <c r="C26" s="15">
        <f t="shared" si="0"/>
        <v>30862379.06</v>
      </c>
      <c r="D26" s="15">
        <v>2951614.45</v>
      </c>
      <c r="E26" s="16">
        <v>1770</v>
      </c>
      <c r="F26" s="15">
        <v>238.22554075867637</v>
      </c>
    </row>
    <row r="27" spans="1:6" ht="12.75">
      <c r="A27" s="22">
        <v>40005</v>
      </c>
      <c r="B27" s="15">
        <v>32179453.54</v>
      </c>
      <c r="C27" s="15">
        <f t="shared" si="0"/>
        <v>29433858.2</v>
      </c>
      <c r="D27" s="15">
        <v>2745595.34</v>
      </c>
      <c r="E27" s="16">
        <v>1770</v>
      </c>
      <c r="F27" s="15">
        <v>221.5976868442292</v>
      </c>
    </row>
    <row r="28" spans="1:6" ht="12.75">
      <c r="A28" s="22">
        <v>40012</v>
      </c>
      <c r="B28" s="15">
        <v>31231823.450000003</v>
      </c>
      <c r="C28" s="15">
        <f t="shared" si="0"/>
        <v>28418208.85</v>
      </c>
      <c r="D28" s="15">
        <v>2813614.6</v>
      </c>
      <c r="E28" s="16">
        <v>1770</v>
      </c>
      <c r="F28" s="15">
        <v>227.08753833736884</v>
      </c>
    </row>
    <row r="29" spans="1:6" ht="12.75">
      <c r="A29" s="22">
        <v>40019</v>
      </c>
      <c r="B29" s="15">
        <v>31226529.119999997</v>
      </c>
      <c r="C29" s="15">
        <f t="shared" si="0"/>
        <v>28562779.589999996</v>
      </c>
      <c r="D29" s="15">
        <v>2663749.53</v>
      </c>
      <c r="E29" s="16">
        <v>1770</v>
      </c>
      <c r="F29" s="15">
        <v>214.9918910411622</v>
      </c>
    </row>
    <row r="30" spans="1:6" ht="12.75">
      <c r="A30" s="22">
        <v>40026</v>
      </c>
      <c r="B30" s="15">
        <v>35227118.72</v>
      </c>
      <c r="C30" s="15">
        <f t="shared" si="0"/>
        <v>32335266.279999997</v>
      </c>
      <c r="D30" s="15">
        <v>2891852.44</v>
      </c>
      <c r="E30" s="16">
        <v>1770</v>
      </c>
      <c r="F30" s="15">
        <v>233.40213397901533</v>
      </c>
    </row>
    <row r="31" spans="1:6" ht="12.75">
      <c r="A31" s="22">
        <v>40033</v>
      </c>
      <c r="B31" s="15">
        <v>35714409.74</v>
      </c>
      <c r="C31" s="15">
        <f t="shared" si="0"/>
        <v>32590407.770000003</v>
      </c>
      <c r="D31" s="15">
        <v>3124001.97</v>
      </c>
      <c r="E31" s="16">
        <v>1770</v>
      </c>
      <c r="F31" s="15">
        <v>252.13898062953993</v>
      </c>
    </row>
    <row r="32" spans="1:6" ht="12.75">
      <c r="A32" s="22">
        <v>40040</v>
      </c>
      <c r="B32" s="15">
        <v>35340108.6</v>
      </c>
      <c r="C32" s="15">
        <f t="shared" si="0"/>
        <v>32194472</v>
      </c>
      <c r="D32" s="15">
        <v>3145636.6</v>
      </c>
      <c r="E32" s="16">
        <v>1770</v>
      </c>
      <c r="F32" s="15">
        <v>253.8851170298628</v>
      </c>
    </row>
    <row r="33" spans="1:6" ht="12.75">
      <c r="A33" s="22">
        <v>40047</v>
      </c>
      <c r="B33" s="15">
        <v>34642486.019999996</v>
      </c>
      <c r="C33" s="15">
        <f t="shared" si="0"/>
        <v>31719086.859999996</v>
      </c>
      <c r="D33" s="15">
        <v>2923399.16</v>
      </c>
      <c r="E33" s="16">
        <v>1770</v>
      </c>
      <c r="F33" s="15">
        <v>235.94827764326075</v>
      </c>
    </row>
    <row r="34" spans="1:6" ht="12.75">
      <c r="A34" s="22">
        <v>40054</v>
      </c>
      <c r="B34" s="15">
        <v>34727837.21</v>
      </c>
      <c r="C34" s="15">
        <f t="shared" si="0"/>
        <v>31683791.830000002</v>
      </c>
      <c r="D34" s="15">
        <v>3044045.38</v>
      </c>
      <c r="E34" s="16">
        <v>1770</v>
      </c>
      <c r="F34" s="15">
        <v>245.6856642453592</v>
      </c>
    </row>
    <row r="35" spans="1:6" ht="12.75">
      <c r="A35" s="22">
        <v>40061</v>
      </c>
      <c r="B35" s="15">
        <v>34440834.58</v>
      </c>
      <c r="C35" s="15">
        <f t="shared" si="0"/>
        <v>31582975.959999997</v>
      </c>
      <c r="D35" s="15">
        <v>2857858.62</v>
      </c>
      <c r="E35" s="16">
        <v>1770</v>
      </c>
      <c r="F35" s="15">
        <v>230.65848426150123</v>
      </c>
    </row>
    <row r="36" spans="1:6" ht="12.75">
      <c r="A36" s="22">
        <f>+A35+7</f>
        <v>40068</v>
      </c>
      <c r="B36" s="15">
        <v>32745434.01</v>
      </c>
      <c r="C36" s="15">
        <f t="shared" si="0"/>
        <v>29945198.340000004</v>
      </c>
      <c r="D36" s="15">
        <v>2800235.67</v>
      </c>
      <c r="E36" s="16">
        <v>1770</v>
      </c>
      <c r="F36" s="15">
        <v>226.00772154963678</v>
      </c>
    </row>
    <row r="37" spans="1:6" ht="12.75">
      <c r="A37" s="22">
        <f aca="true" t="shared" si="1" ref="A37:A64">+A36+7</f>
        <v>40075</v>
      </c>
      <c r="B37" s="15">
        <v>30307436.599999994</v>
      </c>
      <c r="C37" s="15">
        <f t="shared" si="0"/>
        <v>27840474.439999994</v>
      </c>
      <c r="D37" s="15">
        <v>2466962.16</v>
      </c>
      <c r="E37" s="16">
        <v>1770</v>
      </c>
      <c r="F37" s="15">
        <v>199.10913317191284</v>
      </c>
    </row>
    <row r="38" spans="1:6" ht="12.75">
      <c r="A38" s="22">
        <f t="shared" si="1"/>
        <v>40082</v>
      </c>
      <c r="B38" s="15">
        <v>30661964</v>
      </c>
      <c r="C38" s="15">
        <f t="shared" si="0"/>
        <v>28058860</v>
      </c>
      <c r="D38" s="15">
        <v>2603104</v>
      </c>
      <c r="E38" s="16">
        <v>1770</v>
      </c>
      <c r="F38" s="15">
        <v>210</v>
      </c>
    </row>
    <row r="39" spans="1:6" ht="12.75">
      <c r="A39" s="22">
        <f t="shared" si="1"/>
        <v>40089</v>
      </c>
      <c r="B39" s="15">
        <v>29679156</v>
      </c>
      <c r="C39" s="15">
        <f t="shared" si="0"/>
        <v>27091847</v>
      </c>
      <c r="D39" s="15">
        <v>2587309</v>
      </c>
      <c r="E39" s="16">
        <v>1770</v>
      </c>
      <c r="F39" s="15">
        <v>209</v>
      </c>
    </row>
    <row r="40" spans="1:6" ht="12.75">
      <c r="A40" s="22">
        <f t="shared" si="1"/>
        <v>40096</v>
      </c>
      <c r="B40" s="15">
        <v>28926085</v>
      </c>
      <c r="C40" s="15">
        <f t="shared" si="0"/>
        <v>26443896</v>
      </c>
      <c r="D40" s="15">
        <v>2482189</v>
      </c>
      <c r="E40" s="16">
        <v>1770</v>
      </c>
      <c r="F40" s="15">
        <v>200</v>
      </c>
    </row>
    <row r="41" spans="1:6" ht="12.75">
      <c r="A41" s="22">
        <f t="shared" si="1"/>
        <v>40103</v>
      </c>
      <c r="B41" s="15">
        <v>28487666</v>
      </c>
      <c r="C41" s="15">
        <f t="shared" si="0"/>
        <v>26001249</v>
      </c>
      <c r="D41" s="15">
        <v>2486417</v>
      </c>
      <c r="E41" s="16">
        <v>1770</v>
      </c>
      <c r="F41" s="15">
        <v>201</v>
      </c>
    </row>
    <row r="42" spans="1:6" ht="12.75">
      <c r="A42" s="22">
        <f t="shared" si="1"/>
        <v>40110</v>
      </c>
      <c r="B42" s="15">
        <v>28350552</v>
      </c>
      <c r="C42" s="15">
        <f t="shared" si="0"/>
        <v>25942235</v>
      </c>
      <c r="D42" s="15">
        <v>2408317</v>
      </c>
      <c r="E42" s="16">
        <v>1770</v>
      </c>
      <c r="F42" s="15">
        <v>194</v>
      </c>
    </row>
    <row r="43" spans="1:6" ht="12.75">
      <c r="A43" s="22">
        <f t="shared" si="1"/>
        <v>40117</v>
      </c>
      <c r="B43" s="15">
        <v>26832878</v>
      </c>
      <c r="C43" s="15">
        <f t="shared" si="0"/>
        <v>24459938</v>
      </c>
      <c r="D43" s="15">
        <v>2372940</v>
      </c>
      <c r="E43" s="16">
        <v>1770</v>
      </c>
      <c r="F43" s="15">
        <v>192</v>
      </c>
    </row>
    <row r="44" spans="1:6" ht="12.75">
      <c r="A44" s="22">
        <f t="shared" si="1"/>
        <v>40124</v>
      </c>
      <c r="B44" s="15">
        <v>29679213</v>
      </c>
      <c r="C44" s="15">
        <f t="shared" si="0"/>
        <v>27072055</v>
      </c>
      <c r="D44" s="15">
        <v>2607158</v>
      </c>
      <c r="E44" s="16">
        <v>1770</v>
      </c>
      <c r="F44" s="15">
        <v>210</v>
      </c>
    </row>
    <row r="45" spans="1:6" ht="12.75">
      <c r="A45" s="22">
        <f t="shared" si="1"/>
        <v>40131</v>
      </c>
      <c r="B45" s="15">
        <v>29564519</v>
      </c>
      <c r="C45" s="15">
        <f t="shared" si="0"/>
        <v>27041333</v>
      </c>
      <c r="D45" s="15">
        <v>2523186</v>
      </c>
      <c r="E45" s="16">
        <v>1770</v>
      </c>
      <c r="F45" s="15">
        <v>204</v>
      </c>
    </row>
    <row r="46" spans="1:6" ht="12.75">
      <c r="A46" s="22">
        <f t="shared" si="1"/>
        <v>40138</v>
      </c>
      <c r="B46" s="15">
        <v>27368277</v>
      </c>
      <c r="C46" s="15">
        <f t="shared" si="0"/>
        <v>25074092</v>
      </c>
      <c r="D46" s="15">
        <v>2294185</v>
      </c>
      <c r="E46" s="16">
        <v>1770</v>
      </c>
      <c r="F46" s="15">
        <v>185</v>
      </c>
    </row>
    <row r="47" spans="1:6" ht="12.75">
      <c r="A47" s="22">
        <f t="shared" si="1"/>
        <v>40145</v>
      </c>
      <c r="B47" s="15">
        <v>28594667</v>
      </c>
      <c r="C47" s="15">
        <f t="shared" si="0"/>
        <v>26113820</v>
      </c>
      <c r="D47" s="15">
        <v>2480847</v>
      </c>
      <c r="E47" s="16">
        <v>1770</v>
      </c>
      <c r="F47" s="15">
        <v>200</v>
      </c>
    </row>
    <row r="48" spans="1:6" ht="12.75">
      <c r="A48" s="22">
        <f t="shared" si="1"/>
        <v>40152</v>
      </c>
      <c r="B48" s="15">
        <v>26545359</v>
      </c>
      <c r="C48" s="15">
        <f t="shared" si="0"/>
        <v>24237976</v>
      </c>
      <c r="D48" s="15">
        <v>2307383</v>
      </c>
      <c r="E48" s="16">
        <v>1770</v>
      </c>
      <c r="F48" s="15">
        <v>186</v>
      </c>
    </row>
    <row r="49" spans="1:6" ht="12.75">
      <c r="A49" s="22">
        <f t="shared" si="1"/>
        <v>40159</v>
      </c>
      <c r="B49" s="15">
        <v>22795008</v>
      </c>
      <c r="C49" s="15">
        <f t="shared" si="0"/>
        <v>20888947</v>
      </c>
      <c r="D49" s="15">
        <v>1906061</v>
      </c>
      <c r="E49" s="16">
        <v>1770</v>
      </c>
      <c r="F49" s="15">
        <v>154</v>
      </c>
    </row>
    <row r="50" spans="1:6" ht="12.75">
      <c r="A50" s="22">
        <f t="shared" si="1"/>
        <v>40166</v>
      </c>
      <c r="B50" s="15">
        <v>21772466</v>
      </c>
      <c r="C50" s="15">
        <f t="shared" si="0"/>
        <v>19936790</v>
      </c>
      <c r="D50" s="15">
        <v>1835676</v>
      </c>
      <c r="E50" s="16">
        <v>1770</v>
      </c>
      <c r="F50" s="15">
        <v>148</v>
      </c>
    </row>
    <row r="51" spans="1:6" ht="12.75">
      <c r="A51" s="22">
        <f t="shared" si="1"/>
        <v>40173</v>
      </c>
      <c r="B51" s="15">
        <v>22637656</v>
      </c>
      <c r="C51" s="15">
        <f t="shared" si="0"/>
        <v>20715755</v>
      </c>
      <c r="D51" s="15">
        <v>1921901</v>
      </c>
      <c r="E51" s="16">
        <v>1770</v>
      </c>
      <c r="F51" s="15">
        <v>155</v>
      </c>
    </row>
    <row r="52" spans="1:6" ht="12.75">
      <c r="A52" s="22">
        <f t="shared" si="1"/>
        <v>40180</v>
      </c>
      <c r="B52" s="15">
        <v>33481920</v>
      </c>
      <c r="C52" s="15">
        <f t="shared" si="0"/>
        <v>30544792</v>
      </c>
      <c r="D52" s="15">
        <v>2937128</v>
      </c>
      <c r="E52" s="16">
        <v>1770</v>
      </c>
      <c r="F52" s="15">
        <v>237</v>
      </c>
    </row>
    <row r="53" spans="1:6" ht="12.75">
      <c r="A53" s="22">
        <f t="shared" si="1"/>
        <v>40187</v>
      </c>
      <c r="B53" s="15">
        <v>23632705</v>
      </c>
      <c r="C53" s="15">
        <f t="shared" si="0"/>
        <v>21583001</v>
      </c>
      <c r="D53" s="15">
        <v>2049704</v>
      </c>
      <c r="E53" s="16">
        <v>1770</v>
      </c>
      <c r="F53" s="15">
        <v>165</v>
      </c>
    </row>
    <row r="54" spans="1:6" ht="12.75">
      <c r="A54" s="22">
        <f t="shared" si="1"/>
        <v>40194</v>
      </c>
      <c r="B54" s="15">
        <v>28053629</v>
      </c>
      <c r="C54" s="15">
        <f t="shared" si="0"/>
        <v>25645778</v>
      </c>
      <c r="D54" s="15">
        <v>2407851</v>
      </c>
      <c r="E54" s="16">
        <v>1770</v>
      </c>
      <c r="F54" s="15">
        <v>194</v>
      </c>
    </row>
    <row r="55" spans="1:6" ht="12.75">
      <c r="A55" s="22">
        <f t="shared" si="1"/>
        <v>40201</v>
      </c>
      <c r="B55" s="15">
        <v>29876587</v>
      </c>
      <c r="C55" s="15">
        <f t="shared" si="0"/>
        <v>27456681</v>
      </c>
      <c r="D55" s="15">
        <v>2419906</v>
      </c>
      <c r="E55" s="16">
        <v>1770</v>
      </c>
      <c r="F55" s="15">
        <v>195</v>
      </c>
    </row>
    <row r="56" spans="1:6" ht="12.75">
      <c r="A56" s="22">
        <f t="shared" si="1"/>
        <v>40208</v>
      </c>
      <c r="B56" s="15">
        <v>30241050</v>
      </c>
      <c r="C56" s="15">
        <f t="shared" si="0"/>
        <v>27637033</v>
      </c>
      <c r="D56" s="15">
        <v>2604017</v>
      </c>
      <c r="E56" s="16">
        <v>1770</v>
      </c>
      <c r="F56" s="15">
        <v>210</v>
      </c>
    </row>
    <row r="57" spans="1:6" ht="12.75">
      <c r="A57" s="22">
        <f t="shared" si="1"/>
        <v>40215</v>
      </c>
      <c r="B57" s="15">
        <v>30187216</v>
      </c>
      <c r="C57" s="15">
        <f t="shared" si="0"/>
        <v>27571452</v>
      </c>
      <c r="D57" s="15">
        <v>2615764</v>
      </c>
      <c r="E57" s="16">
        <v>1770</v>
      </c>
      <c r="F57" s="15">
        <v>211</v>
      </c>
    </row>
    <row r="58" spans="1:6" ht="12.75">
      <c r="A58" s="22">
        <f t="shared" si="1"/>
        <v>40222</v>
      </c>
      <c r="B58" s="15">
        <v>30652466</v>
      </c>
      <c r="C58" s="15">
        <f t="shared" si="0"/>
        <v>28079022</v>
      </c>
      <c r="D58" s="15">
        <v>2573444</v>
      </c>
      <c r="E58" s="16">
        <v>1770</v>
      </c>
      <c r="F58" s="15">
        <v>208</v>
      </c>
    </row>
    <row r="59" spans="1:6" ht="12.75">
      <c r="A59" s="22">
        <f t="shared" si="1"/>
        <v>40229</v>
      </c>
      <c r="B59" s="15">
        <v>34006390</v>
      </c>
      <c r="C59" s="15">
        <f t="shared" si="0"/>
        <v>31174019</v>
      </c>
      <c r="D59" s="15">
        <v>2832371</v>
      </c>
      <c r="E59" s="16">
        <v>1770</v>
      </c>
      <c r="F59" s="15">
        <v>229</v>
      </c>
    </row>
    <row r="60" spans="1:6" ht="12.75">
      <c r="A60" s="22">
        <f t="shared" si="1"/>
        <v>40236</v>
      </c>
      <c r="B60" s="15">
        <v>28057108</v>
      </c>
      <c r="C60" s="15">
        <f t="shared" si="0"/>
        <v>25698825</v>
      </c>
      <c r="D60" s="15">
        <v>2358283</v>
      </c>
      <c r="E60" s="16">
        <v>1770</v>
      </c>
      <c r="F60" s="15">
        <v>190</v>
      </c>
    </row>
    <row r="61" spans="1:6" ht="12.75">
      <c r="A61" s="22">
        <f t="shared" si="1"/>
        <v>40243</v>
      </c>
      <c r="B61" s="15">
        <v>34251315</v>
      </c>
      <c r="C61" s="15">
        <f t="shared" si="0"/>
        <v>31362602</v>
      </c>
      <c r="D61" s="15">
        <v>2888713</v>
      </c>
      <c r="E61" s="16">
        <v>1770</v>
      </c>
      <c r="F61" s="15">
        <v>233</v>
      </c>
    </row>
    <row r="62" spans="1:6" ht="12.75">
      <c r="A62" s="22">
        <f t="shared" si="1"/>
        <v>40250</v>
      </c>
      <c r="B62" s="15">
        <v>31656684</v>
      </c>
      <c r="C62" s="15">
        <f t="shared" si="0"/>
        <v>28972151</v>
      </c>
      <c r="D62" s="15">
        <v>2684533</v>
      </c>
      <c r="E62" s="16">
        <v>1770</v>
      </c>
      <c r="F62" s="15">
        <v>217</v>
      </c>
    </row>
    <row r="63" spans="1:6" ht="12.75">
      <c r="A63" s="22">
        <f t="shared" si="1"/>
        <v>40257</v>
      </c>
      <c r="B63" s="15">
        <v>31857550</v>
      </c>
      <c r="C63" s="15">
        <f t="shared" si="0"/>
        <v>29126034</v>
      </c>
      <c r="D63" s="15">
        <v>2731516</v>
      </c>
      <c r="E63" s="16">
        <v>1770</v>
      </c>
      <c r="F63" s="15">
        <v>220</v>
      </c>
    </row>
    <row r="64" spans="1:6" ht="12.75">
      <c r="A64" s="22">
        <f t="shared" si="1"/>
        <v>40264</v>
      </c>
      <c r="B64" s="15">
        <v>33247585</v>
      </c>
      <c r="C64" s="15">
        <f t="shared" si="0"/>
        <v>30512965</v>
      </c>
      <c r="D64" s="15">
        <v>2734620</v>
      </c>
      <c r="E64" s="16">
        <v>1770</v>
      </c>
      <c r="F64" s="15">
        <v>221</v>
      </c>
    </row>
    <row r="65" ht="12.75">
      <c r="A65" s="22"/>
    </row>
    <row r="66" spans="1:6" ht="13.5" thickBot="1">
      <c r="A66" s="3" t="s">
        <v>8</v>
      </c>
      <c r="B66" s="17">
        <f>SUM(B13:B64)</f>
        <v>1596777329.0500002</v>
      </c>
      <c r="C66" s="17">
        <f>SUM(C13:C64)</f>
        <v>1460368685.5</v>
      </c>
      <c r="D66" s="17">
        <f>SUM(D13:D64)</f>
        <v>136408643.55</v>
      </c>
      <c r="E66" s="24">
        <f>SUM(E13:E65)/COUNT(E13:E65)</f>
        <v>1770</v>
      </c>
      <c r="F66" s="17">
        <f>+D66/SUM(E13:E65)/7</f>
        <v>211.722610588564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pane ySplit="11" topLeftCell="A57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4.7109375" style="3" customWidth="1"/>
    <col min="2" max="2" width="15.7109375" style="15" customWidth="1"/>
    <col min="3" max="4" width="19.140625" style="15" customWidth="1"/>
    <col min="5" max="5" width="10.140625" style="16" customWidth="1"/>
    <col min="6" max="6" width="11.140625" style="15" customWidth="1"/>
  </cols>
  <sheetData>
    <row r="1" spans="1:9" ht="18">
      <c r="A1" s="37" t="s">
        <v>16</v>
      </c>
      <c r="B1" s="37"/>
      <c r="C1" s="37"/>
      <c r="D1" s="37"/>
      <c r="E1" s="37"/>
      <c r="F1" s="37"/>
      <c r="G1" s="26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27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27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28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29"/>
      <c r="H5" s="29"/>
      <c r="I5" s="29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1" t="s">
        <v>9</v>
      </c>
      <c r="B8" s="42"/>
      <c r="C8" s="42"/>
      <c r="D8" s="42"/>
      <c r="E8" s="42"/>
      <c r="F8" s="43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33700515.34</v>
      </c>
      <c r="C13" s="15">
        <f>+B13-D13</f>
        <v>30924085.270000003</v>
      </c>
      <c r="D13" s="15">
        <v>2776430.07</v>
      </c>
      <c r="E13" s="16">
        <v>1770</v>
      </c>
      <c r="F13" s="15">
        <v>224.08636561743344</v>
      </c>
    </row>
    <row r="14" spans="1:6" ht="12.75">
      <c r="A14" s="22">
        <v>39550</v>
      </c>
      <c r="B14" s="15">
        <v>30933510.69</v>
      </c>
      <c r="C14" s="15">
        <f aca="true" t="shared" si="0" ref="C14:C64">+B14-D14</f>
        <v>28453378.630000003</v>
      </c>
      <c r="D14" s="15">
        <v>2480132.06</v>
      </c>
      <c r="E14" s="16">
        <v>1770</v>
      </c>
      <c r="F14" s="15">
        <v>200.17207909604517</v>
      </c>
    </row>
    <row r="15" spans="1:6" ht="12.75">
      <c r="A15" s="22">
        <v>39557</v>
      </c>
      <c r="B15" s="15">
        <v>30537007.840000004</v>
      </c>
      <c r="C15" s="15">
        <f t="shared" si="0"/>
        <v>28055305.540000003</v>
      </c>
      <c r="D15" s="15">
        <v>2481702.3</v>
      </c>
      <c r="E15" s="16">
        <v>1770</v>
      </c>
      <c r="F15" s="15">
        <v>200.29881355932207</v>
      </c>
    </row>
    <row r="16" spans="1:6" ht="12.75">
      <c r="A16" s="22">
        <v>39564</v>
      </c>
      <c r="B16" s="15">
        <v>29022013.71</v>
      </c>
      <c r="C16" s="15">
        <f t="shared" si="0"/>
        <v>26501236.03</v>
      </c>
      <c r="D16" s="15">
        <v>2520777.68</v>
      </c>
      <c r="E16" s="16">
        <v>1770</v>
      </c>
      <c r="F16" s="15">
        <v>203.45259725585152</v>
      </c>
    </row>
    <row r="17" spans="1:6" ht="12.75">
      <c r="A17" s="22">
        <v>39571</v>
      </c>
      <c r="B17" s="15">
        <v>35919130.29</v>
      </c>
      <c r="C17" s="15">
        <f t="shared" si="0"/>
        <v>33001080.79</v>
      </c>
      <c r="D17" s="15">
        <v>2918049.5</v>
      </c>
      <c r="E17" s="16">
        <v>1770</v>
      </c>
      <c r="F17" s="15">
        <v>235.51650524616622</v>
      </c>
    </row>
    <row r="18" spans="1:6" ht="12.75">
      <c r="A18" s="22">
        <v>39578</v>
      </c>
      <c r="B18" s="15">
        <v>31548334.659999996</v>
      </c>
      <c r="C18" s="15">
        <f t="shared" si="0"/>
        <v>28905093.199999996</v>
      </c>
      <c r="D18" s="15">
        <v>2643241.46</v>
      </c>
      <c r="E18" s="16">
        <v>1770</v>
      </c>
      <c r="F18" s="15">
        <v>213.3366795803067</v>
      </c>
    </row>
    <row r="19" spans="1:6" ht="12.75">
      <c r="A19" s="22">
        <v>39585</v>
      </c>
      <c r="B19" s="15">
        <v>32313035.529999997</v>
      </c>
      <c r="C19" s="15">
        <f t="shared" si="0"/>
        <v>29696210.319999997</v>
      </c>
      <c r="D19" s="15">
        <v>2616825.21</v>
      </c>
      <c r="E19" s="16">
        <v>1770</v>
      </c>
      <c r="F19" s="15">
        <v>211.20461743341409</v>
      </c>
    </row>
    <row r="20" spans="1:6" ht="12.75">
      <c r="A20" s="22">
        <v>39592</v>
      </c>
      <c r="B20" s="15">
        <v>32438729.619999997</v>
      </c>
      <c r="C20" s="15">
        <f t="shared" si="0"/>
        <v>29651196.999999996</v>
      </c>
      <c r="D20" s="15">
        <v>2787532.62</v>
      </c>
      <c r="E20" s="16">
        <v>1770</v>
      </c>
      <c r="F20" s="15">
        <v>224.9824552058111</v>
      </c>
    </row>
    <row r="21" spans="1:6" ht="12.75">
      <c r="A21" s="22">
        <v>39599</v>
      </c>
      <c r="B21" s="15">
        <v>35665400.43</v>
      </c>
      <c r="C21" s="15">
        <f t="shared" si="0"/>
        <v>32699219.11</v>
      </c>
      <c r="D21" s="15">
        <v>2966181.32</v>
      </c>
      <c r="E21" s="16">
        <v>1770</v>
      </c>
      <c r="F21" s="15">
        <v>239.40123648103312</v>
      </c>
    </row>
    <row r="22" spans="1:6" ht="12.75">
      <c r="A22" s="22">
        <v>39606</v>
      </c>
      <c r="B22" s="15">
        <v>30880543.81</v>
      </c>
      <c r="C22" s="15">
        <f t="shared" si="0"/>
        <v>28340620.36</v>
      </c>
      <c r="D22" s="15">
        <v>2539923.45</v>
      </c>
      <c r="E22" s="16">
        <v>1770</v>
      </c>
      <c r="F22" s="15">
        <v>204.99785714285716</v>
      </c>
    </row>
    <row r="23" spans="1:6" ht="12.75">
      <c r="A23" s="22">
        <v>39613</v>
      </c>
      <c r="B23" s="15">
        <v>30856366.880000003</v>
      </c>
      <c r="C23" s="15">
        <f t="shared" si="0"/>
        <v>28213462.400000002</v>
      </c>
      <c r="D23" s="15">
        <v>2642904.48</v>
      </c>
      <c r="E23" s="16">
        <v>1770</v>
      </c>
      <c r="F23" s="15">
        <v>213.3094818401937</v>
      </c>
    </row>
    <row r="24" spans="1:6" ht="12.75">
      <c r="A24" s="22">
        <v>39620</v>
      </c>
      <c r="B24" s="15">
        <v>31179561.660000004</v>
      </c>
      <c r="C24" s="15">
        <f t="shared" si="0"/>
        <v>28571635.030000005</v>
      </c>
      <c r="D24" s="15">
        <v>2607926.63</v>
      </c>
      <c r="E24" s="16">
        <v>1770</v>
      </c>
      <c r="F24" s="15">
        <v>210.4864108151735</v>
      </c>
    </row>
    <row r="25" spans="1:6" ht="12.75">
      <c r="A25" s="22">
        <v>39627</v>
      </c>
      <c r="B25" s="15">
        <v>32868458.84</v>
      </c>
      <c r="C25" s="15">
        <f t="shared" si="0"/>
        <v>30174152.83</v>
      </c>
      <c r="D25" s="15">
        <v>2694306.01</v>
      </c>
      <c r="E25" s="16">
        <v>1770</v>
      </c>
      <c r="F25" s="15">
        <v>217.45811218724776</v>
      </c>
    </row>
    <row r="26" spans="1:6" ht="12.75">
      <c r="A26" s="22">
        <v>39634</v>
      </c>
      <c r="B26" s="15">
        <v>37780337.17</v>
      </c>
      <c r="C26" s="15">
        <f t="shared" si="0"/>
        <v>34711316.15</v>
      </c>
      <c r="D26" s="15">
        <v>3069021.02</v>
      </c>
      <c r="E26" s="16">
        <v>1770</v>
      </c>
      <c r="F26" s="15">
        <v>247.70145439870865</v>
      </c>
    </row>
    <row r="27" spans="1:6" ht="12.75">
      <c r="A27" s="22">
        <v>39641</v>
      </c>
      <c r="B27" s="15">
        <v>34924342.72</v>
      </c>
      <c r="C27" s="15">
        <f t="shared" si="0"/>
        <v>32175035.11</v>
      </c>
      <c r="D27" s="15">
        <v>2749307.61</v>
      </c>
      <c r="E27" s="16">
        <v>1770</v>
      </c>
      <c r="F27" s="15">
        <v>221.89730508474574</v>
      </c>
    </row>
    <row r="28" spans="1:6" ht="12.75">
      <c r="A28" s="22">
        <v>39648</v>
      </c>
      <c r="B28" s="15">
        <v>33572090.98</v>
      </c>
      <c r="C28" s="15">
        <f t="shared" si="0"/>
        <v>30892446.919999998</v>
      </c>
      <c r="D28" s="15">
        <v>2679644.06</v>
      </c>
      <c r="E28" s="16">
        <v>1770</v>
      </c>
      <c r="F28" s="15">
        <v>216.27474253430185</v>
      </c>
    </row>
    <row r="29" spans="1:6" ht="12.75">
      <c r="A29" s="22">
        <v>39655</v>
      </c>
      <c r="B29" s="15">
        <v>34627777.8</v>
      </c>
      <c r="C29" s="15">
        <f t="shared" si="0"/>
        <v>31701460.209999997</v>
      </c>
      <c r="D29" s="15">
        <v>2926317.59</v>
      </c>
      <c r="E29" s="16">
        <v>1770</v>
      </c>
      <c r="F29" s="15">
        <v>236.18382485875708</v>
      </c>
    </row>
    <row r="30" spans="1:6" ht="12.75">
      <c r="A30" s="22">
        <v>39662</v>
      </c>
      <c r="B30" s="15">
        <v>38223949.309999995</v>
      </c>
      <c r="C30" s="15">
        <f t="shared" si="0"/>
        <v>35057093.629999995</v>
      </c>
      <c r="D30" s="15">
        <v>3166855.68</v>
      </c>
      <c r="E30" s="16">
        <v>1770</v>
      </c>
      <c r="F30" s="15">
        <v>255.59771428571426</v>
      </c>
    </row>
    <row r="31" spans="1:6" ht="12.75">
      <c r="A31" s="22">
        <v>39669</v>
      </c>
      <c r="B31" s="15">
        <v>38391684.629999995</v>
      </c>
      <c r="C31" s="15">
        <f t="shared" si="0"/>
        <v>35275365.239999995</v>
      </c>
      <c r="D31" s="15">
        <v>3116319.39</v>
      </c>
      <c r="E31" s="16">
        <v>1770</v>
      </c>
      <c r="F31" s="15">
        <v>251.51891767554477</v>
      </c>
    </row>
    <row r="32" spans="1:6" ht="12.75">
      <c r="A32" s="22">
        <v>39676</v>
      </c>
      <c r="B32" s="15">
        <v>39555345.78000001</v>
      </c>
      <c r="C32" s="15">
        <f t="shared" si="0"/>
        <v>36450362.91000001</v>
      </c>
      <c r="D32" s="15">
        <v>3104982.87</v>
      </c>
      <c r="E32" s="16">
        <v>1770</v>
      </c>
      <c r="F32" s="15">
        <v>250.60394430992733</v>
      </c>
    </row>
    <row r="33" spans="1:6" ht="12.75">
      <c r="A33" s="22">
        <v>39683</v>
      </c>
      <c r="B33" s="15">
        <v>36622188.43</v>
      </c>
      <c r="C33" s="15">
        <f t="shared" si="0"/>
        <v>33594085.769999996</v>
      </c>
      <c r="D33" s="15">
        <v>3028102.66</v>
      </c>
      <c r="E33" s="16">
        <v>1770</v>
      </c>
      <c r="F33" s="15">
        <v>244.39892332526227</v>
      </c>
    </row>
    <row r="34" spans="1:6" ht="12.75">
      <c r="A34" s="22">
        <v>39690</v>
      </c>
      <c r="B34" s="15">
        <v>37918096.760000005</v>
      </c>
      <c r="C34" s="15">
        <f t="shared" si="0"/>
        <v>34746382.17</v>
      </c>
      <c r="D34" s="15">
        <v>3171714.59</v>
      </c>
      <c r="E34" s="16">
        <v>1770</v>
      </c>
      <c r="F34" s="15">
        <v>255.98987812752222</v>
      </c>
    </row>
    <row r="35" spans="1:6" ht="12.75">
      <c r="A35" s="22">
        <v>39697</v>
      </c>
      <c r="B35" s="15">
        <v>35177997.46</v>
      </c>
      <c r="C35" s="15">
        <f t="shared" si="0"/>
        <v>32313221.080000002</v>
      </c>
      <c r="D35" s="15">
        <v>2864776.38</v>
      </c>
      <c r="E35" s="16">
        <v>1770</v>
      </c>
      <c r="F35" s="15">
        <v>231.21681840193705</v>
      </c>
    </row>
    <row r="36" spans="1:6" ht="12.75">
      <c r="A36" s="22">
        <v>39704</v>
      </c>
      <c r="B36" s="15">
        <v>32054655.419999998</v>
      </c>
      <c r="C36" s="15">
        <f t="shared" si="0"/>
        <v>29398967.459999997</v>
      </c>
      <c r="D36" s="15">
        <v>2655687.96</v>
      </c>
      <c r="E36" s="16">
        <v>1770</v>
      </c>
      <c r="F36" s="15">
        <v>214.3412397094431</v>
      </c>
    </row>
    <row r="37" spans="1:6" ht="12.75">
      <c r="A37" s="22">
        <v>39711</v>
      </c>
      <c r="B37" s="15">
        <v>30409687.560000002</v>
      </c>
      <c r="C37" s="15">
        <f t="shared" si="0"/>
        <v>27812132.46</v>
      </c>
      <c r="D37" s="15">
        <v>2597555.1</v>
      </c>
      <c r="E37" s="16">
        <v>1770</v>
      </c>
      <c r="F37" s="15">
        <v>209.6493220338983</v>
      </c>
    </row>
    <row r="38" spans="1:6" ht="12.75">
      <c r="A38" s="22">
        <v>39718</v>
      </c>
      <c r="B38" s="15">
        <v>31492882.16</v>
      </c>
      <c r="C38" s="15">
        <f t="shared" si="0"/>
        <v>28785879.6</v>
      </c>
      <c r="D38" s="15">
        <v>2707002.56</v>
      </c>
      <c r="E38" s="16">
        <v>1770</v>
      </c>
      <c r="F38" s="15">
        <v>218.48285391444713</v>
      </c>
    </row>
    <row r="39" spans="1:6" ht="12.75">
      <c r="A39" s="22">
        <v>39725</v>
      </c>
      <c r="B39" s="15">
        <v>29811404.86</v>
      </c>
      <c r="C39" s="15">
        <f t="shared" si="0"/>
        <v>27327760</v>
      </c>
      <c r="D39" s="15">
        <v>2483644.86</v>
      </c>
      <c r="E39" s="16">
        <v>1770</v>
      </c>
      <c r="F39" s="15">
        <v>200.45559806295398</v>
      </c>
    </row>
    <row r="40" spans="1:6" ht="12.75">
      <c r="A40" s="22">
        <v>39732</v>
      </c>
      <c r="B40" s="15">
        <v>29514161.62</v>
      </c>
      <c r="C40" s="15">
        <f t="shared" si="0"/>
        <v>26973354.78</v>
      </c>
      <c r="D40" s="15">
        <v>2540806.84</v>
      </c>
      <c r="E40" s="16">
        <v>1770</v>
      </c>
      <c r="F40" s="15">
        <v>205.06915577078288</v>
      </c>
    </row>
    <row r="41" spans="1:6" ht="12.75">
      <c r="A41" s="22">
        <v>39739</v>
      </c>
      <c r="B41" s="15">
        <v>31401362.799999997</v>
      </c>
      <c r="C41" s="15">
        <f t="shared" si="0"/>
        <v>28736388.009999998</v>
      </c>
      <c r="D41" s="15">
        <v>2664974.79</v>
      </c>
      <c r="E41" s="16">
        <v>1770</v>
      </c>
      <c r="F41" s="15">
        <v>215.0907820823245</v>
      </c>
    </row>
    <row r="42" spans="1:6" ht="12.75">
      <c r="A42" s="22">
        <v>39746</v>
      </c>
      <c r="B42" s="15">
        <v>27984543.79</v>
      </c>
      <c r="C42" s="15">
        <f t="shared" si="0"/>
        <v>25585041.78</v>
      </c>
      <c r="D42" s="15">
        <v>2399502.01</v>
      </c>
      <c r="E42" s="16">
        <v>1770</v>
      </c>
      <c r="F42" s="15">
        <v>193.6644075867635</v>
      </c>
    </row>
    <row r="43" spans="1:6" ht="12.75">
      <c r="A43" s="22">
        <v>39753</v>
      </c>
      <c r="B43" s="15">
        <v>28826941.79</v>
      </c>
      <c r="C43" s="15">
        <f t="shared" si="0"/>
        <v>26409084.439999998</v>
      </c>
      <c r="D43" s="15">
        <v>2417857.35</v>
      </c>
      <c r="E43" s="16">
        <v>1770</v>
      </c>
      <c r="F43" s="15">
        <v>195.14587167070215</v>
      </c>
    </row>
    <row r="44" spans="1:6" ht="12.75">
      <c r="A44" s="22">
        <v>39760</v>
      </c>
      <c r="B44" s="15">
        <v>29742948.580000002</v>
      </c>
      <c r="C44" s="15">
        <f t="shared" si="0"/>
        <v>27222416.44</v>
      </c>
      <c r="D44" s="15">
        <v>2520532.14</v>
      </c>
      <c r="E44" s="16">
        <v>1770</v>
      </c>
      <c r="F44" s="15">
        <v>203.43277966101692</v>
      </c>
    </row>
    <row r="45" spans="1:6" ht="12.75">
      <c r="A45" s="22">
        <v>39767</v>
      </c>
      <c r="B45" s="15">
        <v>30700417.32</v>
      </c>
      <c r="C45" s="15">
        <f t="shared" si="0"/>
        <v>28140378.57</v>
      </c>
      <c r="D45" s="15">
        <v>2560038.75</v>
      </c>
      <c r="E45" s="16">
        <v>1770</v>
      </c>
      <c r="F45" s="15">
        <v>206.6213680387409</v>
      </c>
    </row>
    <row r="46" spans="1:6" ht="12.75">
      <c r="A46" s="22">
        <v>39774</v>
      </c>
      <c r="B46" s="15">
        <v>26400030.26</v>
      </c>
      <c r="C46" s="15">
        <f t="shared" si="0"/>
        <v>24163783.6</v>
      </c>
      <c r="D46" s="15">
        <v>2236246.66</v>
      </c>
      <c r="E46" s="16">
        <v>1770</v>
      </c>
      <c r="F46" s="15">
        <v>180.4880274414851</v>
      </c>
    </row>
    <row r="47" spans="1:6" ht="12.75">
      <c r="A47" s="22">
        <v>39781</v>
      </c>
      <c r="B47" s="15">
        <v>29464977.110000003</v>
      </c>
      <c r="C47" s="15">
        <f t="shared" si="0"/>
        <v>26923373.110000003</v>
      </c>
      <c r="D47" s="15">
        <v>2541604</v>
      </c>
      <c r="E47" s="16">
        <v>1770</v>
      </c>
      <c r="F47" s="15">
        <v>205.1334947538337</v>
      </c>
    </row>
    <row r="48" spans="1:6" ht="12.75">
      <c r="A48" s="22">
        <v>39788</v>
      </c>
      <c r="B48" s="15">
        <v>25528040.63</v>
      </c>
      <c r="C48" s="15">
        <f t="shared" si="0"/>
        <v>23390069.779999997</v>
      </c>
      <c r="D48" s="15">
        <v>2137970.85</v>
      </c>
      <c r="E48" s="16">
        <v>1770</v>
      </c>
      <c r="F48" s="15">
        <v>172.55616222760287</v>
      </c>
    </row>
    <row r="49" spans="1:6" ht="12.75">
      <c r="A49" s="22">
        <v>39795</v>
      </c>
      <c r="B49" s="15">
        <v>19371240.41</v>
      </c>
      <c r="C49" s="15">
        <f t="shared" si="0"/>
        <v>17756209.27</v>
      </c>
      <c r="D49" s="15">
        <v>1615031.14</v>
      </c>
      <c r="E49" s="16">
        <v>1770</v>
      </c>
      <c r="F49" s="15">
        <v>130.34956739305892</v>
      </c>
    </row>
    <row r="50" spans="1:6" ht="12.75">
      <c r="A50" s="22">
        <v>39802</v>
      </c>
      <c r="B50" s="15">
        <v>19009999.08</v>
      </c>
      <c r="C50" s="15">
        <f t="shared" si="0"/>
        <v>17430229.959999997</v>
      </c>
      <c r="D50" s="15">
        <v>1579769.12</v>
      </c>
      <c r="E50" s="16">
        <v>1770</v>
      </c>
      <c r="F50" s="15">
        <v>127.50356093623891</v>
      </c>
    </row>
    <row r="51" spans="1:6" ht="12.75">
      <c r="A51" s="22">
        <v>39809</v>
      </c>
      <c r="B51" s="15">
        <v>24841826.36</v>
      </c>
      <c r="C51" s="15">
        <f t="shared" si="0"/>
        <v>22711015.28</v>
      </c>
      <c r="D51" s="15">
        <v>2130811.08</v>
      </c>
      <c r="E51" s="16">
        <v>1770</v>
      </c>
      <c r="F51" s="15">
        <v>171.97829539951576</v>
      </c>
    </row>
    <row r="52" spans="1:6" ht="12.75">
      <c r="A52" s="22">
        <v>39816</v>
      </c>
      <c r="B52" s="15">
        <v>33306289.830000002</v>
      </c>
      <c r="C52" s="15">
        <f t="shared" si="0"/>
        <v>30577246.910000004</v>
      </c>
      <c r="D52" s="15">
        <v>2729042.92</v>
      </c>
      <c r="E52" s="16">
        <v>1770</v>
      </c>
      <c r="F52" s="15">
        <v>220.26173688458434</v>
      </c>
    </row>
    <row r="53" spans="1:6" ht="12.75">
      <c r="A53" s="22">
        <v>39823</v>
      </c>
      <c r="B53" s="15">
        <v>23295042.89</v>
      </c>
      <c r="C53" s="15">
        <f t="shared" si="0"/>
        <v>21405630.78</v>
      </c>
      <c r="D53" s="15">
        <v>1889412.11</v>
      </c>
      <c r="E53" s="16">
        <v>1770</v>
      </c>
      <c r="F53" s="15">
        <v>152.4949241323648</v>
      </c>
    </row>
    <row r="54" spans="1:6" ht="12.75">
      <c r="A54" s="22">
        <v>39830</v>
      </c>
      <c r="B54" s="15">
        <v>24660739.9</v>
      </c>
      <c r="C54" s="15">
        <f t="shared" si="0"/>
        <v>22562729.9</v>
      </c>
      <c r="D54" s="15">
        <v>2098010</v>
      </c>
      <c r="E54" s="16">
        <v>1770</v>
      </c>
      <c r="F54" s="15">
        <v>169.33091202582727</v>
      </c>
    </row>
    <row r="55" spans="1:6" ht="12.75">
      <c r="A55" s="22">
        <v>39837</v>
      </c>
      <c r="B55" s="15">
        <v>27548147.970000003</v>
      </c>
      <c r="C55" s="15">
        <f t="shared" si="0"/>
        <v>25206764.71</v>
      </c>
      <c r="D55" s="15">
        <v>2341383.26</v>
      </c>
      <c r="E55" s="16">
        <v>1770</v>
      </c>
      <c r="F55" s="15">
        <v>188.97362873284908</v>
      </c>
    </row>
    <row r="56" spans="1:6" ht="12.75">
      <c r="A56" s="22">
        <v>39844</v>
      </c>
      <c r="B56" s="15">
        <v>30844488.66</v>
      </c>
      <c r="C56" s="15">
        <f t="shared" si="0"/>
        <v>28330996.1</v>
      </c>
      <c r="D56" s="15">
        <v>2513492.56</v>
      </c>
      <c r="E56" s="16">
        <v>1770</v>
      </c>
      <c r="F56" s="15">
        <v>202.86461339790154</v>
      </c>
    </row>
    <row r="57" spans="1:6" ht="12.75">
      <c r="A57" s="22">
        <v>39851</v>
      </c>
      <c r="B57" s="15">
        <v>30334087.19</v>
      </c>
      <c r="C57" s="15">
        <f t="shared" si="0"/>
        <v>27836672.61</v>
      </c>
      <c r="D57" s="15">
        <v>2497414.58</v>
      </c>
      <c r="E57" s="16">
        <v>1770</v>
      </c>
      <c r="F57" s="15">
        <v>201.5669556093624</v>
      </c>
    </row>
    <row r="58" spans="1:6" ht="12.75">
      <c r="A58" s="22">
        <v>39858</v>
      </c>
      <c r="B58" s="15">
        <v>32467511.680000003</v>
      </c>
      <c r="C58" s="15">
        <f t="shared" si="0"/>
        <v>29803773.530000005</v>
      </c>
      <c r="D58" s="15">
        <v>2663738.15</v>
      </c>
      <c r="E58" s="16">
        <v>1770</v>
      </c>
      <c r="F58" s="15">
        <v>214.99097255851493</v>
      </c>
    </row>
    <row r="59" spans="1:6" ht="12.75">
      <c r="A59" s="22">
        <v>39865</v>
      </c>
      <c r="B59" s="15">
        <v>31579735.479999997</v>
      </c>
      <c r="C59" s="15">
        <f t="shared" si="0"/>
        <v>28920826.059999995</v>
      </c>
      <c r="D59" s="15">
        <v>2658909.42</v>
      </c>
      <c r="E59" s="16">
        <v>1770</v>
      </c>
      <c r="F59" s="15">
        <v>214.60124455205812</v>
      </c>
    </row>
    <row r="60" spans="1:6" ht="12.75">
      <c r="A60" s="22">
        <v>39872</v>
      </c>
      <c r="B60" s="15">
        <v>32541069.25</v>
      </c>
      <c r="C60" s="15">
        <f t="shared" si="0"/>
        <v>29844674.72</v>
      </c>
      <c r="D60" s="15">
        <v>2696394.53</v>
      </c>
      <c r="E60" s="16">
        <v>1770</v>
      </c>
      <c r="F60" s="15">
        <v>217.6266771589992</v>
      </c>
    </row>
    <row r="61" spans="1:6" ht="12.75">
      <c r="A61" s="22">
        <v>39879</v>
      </c>
      <c r="B61" s="15">
        <v>32065372.209999997</v>
      </c>
      <c r="C61" s="15">
        <f t="shared" si="0"/>
        <v>29411436.459999997</v>
      </c>
      <c r="D61" s="15">
        <v>2653935.75</v>
      </c>
      <c r="E61" s="16">
        <v>1770</v>
      </c>
      <c r="F61" s="15">
        <v>214.19981840193705</v>
      </c>
    </row>
    <row r="62" spans="1:6" ht="12.75">
      <c r="A62" s="22">
        <v>39886</v>
      </c>
      <c r="B62" s="15">
        <v>31871469.22</v>
      </c>
      <c r="C62" s="15">
        <f t="shared" si="0"/>
        <v>29093328.799999997</v>
      </c>
      <c r="D62" s="15">
        <v>2778140.42</v>
      </c>
      <c r="E62" s="16">
        <v>1770</v>
      </c>
      <c r="F62" s="15">
        <v>224.224408393866</v>
      </c>
    </row>
    <row r="63" spans="1:6" ht="12.75">
      <c r="A63" s="22">
        <v>39893</v>
      </c>
      <c r="B63" s="15">
        <v>31941465.059999995</v>
      </c>
      <c r="C63" s="15">
        <f t="shared" si="0"/>
        <v>29247132.769999996</v>
      </c>
      <c r="D63" s="15">
        <v>2694332.29</v>
      </c>
      <c r="E63" s="16">
        <v>1770</v>
      </c>
      <c r="F63" s="15">
        <v>217.46023325262308</v>
      </c>
    </row>
    <row r="64" spans="1:6" ht="12.75">
      <c r="A64" s="22">
        <v>39900</v>
      </c>
      <c r="B64" s="15">
        <v>31227175.869999997</v>
      </c>
      <c r="C64" s="15">
        <f t="shared" si="0"/>
        <v>28658399.179999996</v>
      </c>
      <c r="D64" s="15">
        <v>2568776.69</v>
      </c>
      <c r="E64" s="16">
        <v>1770</v>
      </c>
      <c r="F64" s="15">
        <v>207.32660936238898</v>
      </c>
    </row>
    <row r="65" ht="12.75">
      <c r="A65" s="22"/>
    </row>
    <row r="66" spans="1:6" ht="13.5" thickBot="1">
      <c r="A66" s="3" t="s">
        <v>8</v>
      </c>
      <c r="B66" s="17">
        <f>SUM(B13:B64)</f>
        <v>1624894135.3</v>
      </c>
      <c r="C66" s="17">
        <f>SUM(C13:C64)</f>
        <v>1489769142.7700002</v>
      </c>
      <c r="D66" s="17">
        <f>SUM(D13:D64)</f>
        <v>135124992.53000003</v>
      </c>
      <c r="E66" s="24">
        <f>SUM(E13:E65)/COUNT(E13:E65)</f>
        <v>1770</v>
      </c>
      <c r="F66" s="17">
        <f>+D66/SUM(E13:E65)/7</f>
        <v>209.7302299155647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  <row r="69" ht="12.75">
      <c r="A69" s="3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pane ySplit="11" topLeftCell="A57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ht="18">
      <c r="A1" s="37" t="s">
        <v>16</v>
      </c>
      <c r="B1" s="37"/>
      <c r="C1" s="37"/>
      <c r="D1" s="37"/>
      <c r="E1" s="37"/>
      <c r="F1" s="37"/>
      <c r="G1" s="26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27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27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28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29"/>
      <c r="H5" s="29"/>
      <c r="I5" s="29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1" t="s">
        <v>15</v>
      </c>
      <c r="B8" s="42"/>
      <c r="C8" s="42"/>
      <c r="D8" s="42"/>
      <c r="E8" s="42"/>
      <c r="F8" s="43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29651042.36</v>
      </c>
      <c r="C13" s="15">
        <f>+B13-D13</f>
        <v>27331845.45</v>
      </c>
      <c r="D13" s="15">
        <v>2319196.91</v>
      </c>
      <c r="E13" s="16">
        <v>1331</v>
      </c>
      <c r="F13" s="15">
        <v>248.9209949554578</v>
      </c>
    </row>
    <row r="14" spans="1:6" ht="12.75">
      <c r="A14" s="22">
        <v>39186</v>
      </c>
      <c r="B14" s="15">
        <v>31717155.450000003</v>
      </c>
      <c r="C14" s="15">
        <f aca="true" t="shared" si="0" ref="C14:C64">+B14-D14</f>
        <v>29083526.900000002</v>
      </c>
      <c r="D14" s="15">
        <v>2633628.55</v>
      </c>
      <c r="E14" s="16">
        <v>1331</v>
      </c>
      <c r="F14" s="15">
        <v>282.669158527423</v>
      </c>
    </row>
    <row r="15" spans="1:6" ht="12.75">
      <c r="A15" s="22">
        <v>39193</v>
      </c>
      <c r="B15" s="15">
        <v>28064200.5</v>
      </c>
      <c r="C15" s="15">
        <f t="shared" si="0"/>
        <v>25891805.21</v>
      </c>
      <c r="D15" s="15">
        <v>2172395.29</v>
      </c>
      <c r="E15" s="16">
        <v>1331</v>
      </c>
      <c r="F15" s="15">
        <v>233.1646763979822</v>
      </c>
    </row>
    <row r="16" spans="1:6" ht="12.75">
      <c r="A16" s="22">
        <v>39200</v>
      </c>
      <c r="B16" s="15">
        <v>31245447.189999998</v>
      </c>
      <c r="C16" s="15">
        <f t="shared" si="0"/>
        <v>28748290.86</v>
      </c>
      <c r="D16" s="15">
        <v>2497156.33</v>
      </c>
      <c r="E16" s="16">
        <v>1331</v>
      </c>
      <c r="F16" s="15">
        <v>268.02150155629494</v>
      </c>
    </row>
    <row r="17" spans="1:6" ht="12.75">
      <c r="A17" s="22">
        <v>39207</v>
      </c>
      <c r="B17" s="15">
        <v>32092617.74</v>
      </c>
      <c r="C17" s="15">
        <f t="shared" si="0"/>
        <v>29489715.779999997</v>
      </c>
      <c r="D17" s="15">
        <v>2602901.96</v>
      </c>
      <c r="E17" s="16">
        <v>1331</v>
      </c>
      <c r="F17" s="15">
        <v>279.37125254910376</v>
      </c>
    </row>
    <row r="18" spans="1:6" ht="12.75">
      <c r="A18" s="22">
        <v>39214</v>
      </c>
      <c r="B18" s="15">
        <v>28561048.700000003</v>
      </c>
      <c r="C18" s="15">
        <f t="shared" si="0"/>
        <v>26136988.92</v>
      </c>
      <c r="D18" s="15">
        <v>2424059.78</v>
      </c>
      <c r="E18" s="16">
        <v>1331</v>
      </c>
      <c r="F18" s="15">
        <v>260.17599871203174</v>
      </c>
    </row>
    <row r="19" spans="1:6" ht="12.75">
      <c r="A19" s="22">
        <v>39221</v>
      </c>
      <c r="B19" s="15">
        <v>30956816.29</v>
      </c>
      <c r="C19" s="15">
        <f t="shared" si="0"/>
        <v>28384381.13</v>
      </c>
      <c r="D19" s="15">
        <v>2572435.16</v>
      </c>
      <c r="E19" s="16">
        <v>1327.2857142857142</v>
      </c>
      <c r="F19" s="15">
        <v>276.87387364115807</v>
      </c>
    </row>
    <row r="20" spans="1:6" ht="12.75">
      <c r="A20" s="22">
        <v>39228</v>
      </c>
      <c r="B20" s="15">
        <v>31482175.370000005</v>
      </c>
      <c r="C20" s="15">
        <f t="shared" si="0"/>
        <v>28928359.800000004</v>
      </c>
      <c r="D20" s="15">
        <v>2553815.57</v>
      </c>
      <c r="E20" s="16">
        <v>1446.142857142857</v>
      </c>
      <c r="F20" s="15">
        <v>252.27853106786523</v>
      </c>
    </row>
    <row r="21" spans="1:6" ht="12.75">
      <c r="A21" s="22">
        <v>39235</v>
      </c>
      <c r="B21" s="15">
        <v>38281423.04</v>
      </c>
      <c r="C21" s="15">
        <f t="shared" si="0"/>
        <v>35229330.64</v>
      </c>
      <c r="D21" s="15">
        <v>3052092.4</v>
      </c>
      <c r="E21" s="16">
        <v>1762</v>
      </c>
      <c r="F21" s="15">
        <v>247.45357548240634</v>
      </c>
    </row>
    <row r="22" spans="1:6" ht="12.75">
      <c r="A22" s="22">
        <v>39242</v>
      </c>
      <c r="B22" s="15">
        <v>36274762.7</v>
      </c>
      <c r="C22" s="15">
        <f t="shared" si="0"/>
        <v>33361881.000000004</v>
      </c>
      <c r="D22" s="15">
        <v>2912881.7</v>
      </c>
      <c r="E22" s="16">
        <v>1762</v>
      </c>
      <c r="F22" s="15">
        <v>236.1668315226204</v>
      </c>
    </row>
    <row r="23" spans="1:6" ht="12.75">
      <c r="A23" s="22">
        <v>39249</v>
      </c>
      <c r="B23" s="15">
        <v>31152966.090000004</v>
      </c>
      <c r="C23" s="15">
        <f t="shared" si="0"/>
        <v>28617752.300000004</v>
      </c>
      <c r="D23" s="15">
        <v>2535213.79</v>
      </c>
      <c r="E23" s="16">
        <v>1762</v>
      </c>
      <c r="F23" s="15">
        <v>205.5467642289606</v>
      </c>
    </row>
    <row r="24" spans="1:6" ht="12.75">
      <c r="A24" s="22">
        <v>39256</v>
      </c>
      <c r="B24" s="15">
        <v>32118240.919999998</v>
      </c>
      <c r="C24" s="15">
        <f t="shared" si="0"/>
        <v>29499649.029999997</v>
      </c>
      <c r="D24" s="15">
        <v>2618591.89</v>
      </c>
      <c r="E24" s="16">
        <v>1762</v>
      </c>
      <c r="F24" s="15">
        <v>212.30678530890222</v>
      </c>
    </row>
    <row r="25" spans="1:6" ht="12.75">
      <c r="A25" s="22">
        <v>39263</v>
      </c>
      <c r="B25" s="15">
        <v>34875873.809999995</v>
      </c>
      <c r="C25" s="15">
        <f t="shared" si="0"/>
        <v>32107813.929999996</v>
      </c>
      <c r="D25" s="15">
        <v>2768059.88</v>
      </c>
      <c r="E25" s="16">
        <v>1762</v>
      </c>
      <c r="F25" s="15">
        <v>224.4251564780282</v>
      </c>
    </row>
    <row r="26" spans="1:6" ht="12.75">
      <c r="A26" s="22">
        <v>39270</v>
      </c>
      <c r="B26" s="15">
        <v>38999652.95</v>
      </c>
      <c r="C26" s="15">
        <f t="shared" si="0"/>
        <v>35851886.54000001</v>
      </c>
      <c r="D26" s="15">
        <v>3147766.41</v>
      </c>
      <c r="E26" s="16">
        <v>1762</v>
      </c>
      <c r="F26" s="15">
        <v>255.21050835089997</v>
      </c>
    </row>
    <row r="27" spans="1:6" ht="12.75">
      <c r="A27" s="22">
        <v>39277</v>
      </c>
      <c r="B27" s="15">
        <v>33456987.669999998</v>
      </c>
      <c r="C27" s="15">
        <f t="shared" si="0"/>
        <v>30806957.88</v>
      </c>
      <c r="D27" s="15">
        <v>2650029.79</v>
      </c>
      <c r="E27" s="16">
        <v>1762</v>
      </c>
      <c r="F27" s="15">
        <v>214.85566645046214</v>
      </c>
    </row>
    <row r="28" spans="1:6" ht="12.75">
      <c r="A28" s="22">
        <v>39284</v>
      </c>
      <c r="B28" s="15">
        <v>34399012.080000006</v>
      </c>
      <c r="C28" s="15">
        <f t="shared" si="0"/>
        <v>31572692.360000007</v>
      </c>
      <c r="D28" s="15">
        <v>2826319.72</v>
      </c>
      <c r="E28" s="16">
        <v>1762</v>
      </c>
      <c r="F28" s="15">
        <v>229.14867196367763</v>
      </c>
    </row>
    <row r="29" spans="1:6" ht="12.75">
      <c r="A29" s="22">
        <v>39291</v>
      </c>
      <c r="B29" s="15">
        <v>34106768.96</v>
      </c>
      <c r="C29" s="15">
        <f t="shared" si="0"/>
        <v>31358476.98</v>
      </c>
      <c r="D29" s="15">
        <v>2748291.98</v>
      </c>
      <c r="E29" s="16">
        <v>1762</v>
      </c>
      <c r="F29" s="15">
        <v>222.8224404086266</v>
      </c>
    </row>
    <row r="30" spans="1:6" ht="12.75">
      <c r="A30" s="22">
        <v>39298</v>
      </c>
      <c r="B30" s="15">
        <v>38759951.3</v>
      </c>
      <c r="C30" s="15">
        <f t="shared" si="0"/>
        <v>35600036.61</v>
      </c>
      <c r="D30" s="15">
        <v>3159914.69</v>
      </c>
      <c r="E30" s="16">
        <v>1762</v>
      </c>
      <c r="F30" s="15">
        <v>256.1954507864439</v>
      </c>
    </row>
    <row r="31" spans="1:6" ht="12.75">
      <c r="A31" s="22">
        <v>39305</v>
      </c>
      <c r="B31" s="15">
        <v>38827457.03</v>
      </c>
      <c r="C31" s="15">
        <f t="shared" si="0"/>
        <v>35882155.300000004</v>
      </c>
      <c r="D31" s="15">
        <v>2945301.73</v>
      </c>
      <c r="E31" s="16">
        <v>1762</v>
      </c>
      <c r="F31" s="15">
        <v>238.79534052213393</v>
      </c>
    </row>
    <row r="32" spans="1:6" ht="12.75">
      <c r="A32" s="22">
        <v>39312</v>
      </c>
      <c r="B32" s="15">
        <v>37353991.63</v>
      </c>
      <c r="C32" s="15">
        <f t="shared" si="0"/>
        <v>34278369.68</v>
      </c>
      <c r="D32" s="15">
        <v>3075621.95</v>
      </c>
      <c r="E32" s="16">
        <v>1762</v>
      </c>
      <c r="F32" s="15">
        <v>249.3612737149343</v>
      </c>
    </row>
    <row r="33" spans="1:6" ht="12.75">
      <c r="A33" s="22">
        <v>39319</v>
      </c>
      <c r="B33" s="15">
        <v>36333046.730000004</v>
      </c>
      <c r="C33" s="15">
        <f t="shared" si="0"/>
        <v>33436542.440000005</v>
      </c>
      <c r="D33" s="15">
        <v>2896504.29</v>
      </c>
      <c r="E33" s="16">
        <v>1762</v>
      </c>
      <c r="F33" s="15">
        <v>234.83900518890871</v>
      </c>
    </row>
    <row r="34" spans="1:6" ht="12.75">
      <c r="A34" s="22">
        <v>39326</v>
      </c>
      <c r="B34" s="15">
        <v>38269044.43</v>
      </c>
      <c r="C34" s="15">
        <f t="shared" si="0"/>
        <v>35236144.48</v>
      </c>
      <c r="D34" s="15">
        <v>3032899.95</v>
      </c>
      <c r="E34" s="16">
        <v>1762</v>
      </c>
      <c r="F34" s="15">
        <v>245.8975149991892</v>
      </c>
    </row>
    <row r="35" spans="1:6" ht="12.75">
      <c r="A35" s="22">
        <v>39333</v>
      </c>
      <c r="B35" s="15">
        <v>34816517.1</v>
      </c>
      <c r="C35" s="15">
        <f t="shared" si="0"/>
        <v>31920848.560000002</v>
      </c>
      <c r="D35" s="15">
        <v>2895668.54</v>
      </c>
      <c r="E35" s="16">
        <v>1762</v>
      </c>
      <c r="F35" s="15">
        <v>234.77124533808984</v>
      </c>
    </row>
    <row r="36" spans="1:6" ht="12.75">
      <c r="A36" s="22">
        <v>39340</v>
      </c>
      <c r="B36" s="15">
        <v>32712956.07</v>
      </c>
      <c r="C36" s="15">
        <f t="shared" si="0"/>
        <v>30080835.54</v>
      </c>
      <c r="D36" s="15">
        <v>2632120.53</v>
      </c>
      <c r="E36" s="16">
        <v>1763.142857142857</v>
      </c>
      <c r="F36" s="15">
        <v>213.2653159941663</v>
      </c>
    </row>
    <row r="37" spans="1:6" ht="12.75">
      <c r="A37" s="22">
        <v>39347</v>
      </c>
      <c r="B37" s="15">
        <v>30475434.14</v>
      </c>
      <c r="C37" s="15">
        <f t="shared" si="0"/>
        <v>27947384.19</v>
      </c>
      <c r="D37" s="15">
        <v>2528049.95</v>
      </c>
      <c r="E37" s="16">
        <v>1764</v>
      </c>
      <c r="F37" s="15">
        <v>204.73355604146423</v>
      </c>
    </row>
    <row r="38" spans="1:6" ht="12.75">
      <c r="A38" s="22">
        <v>39354</v>
      </c>
      <c r="B38" s="15">
        <v>33848569.09</v>
      </c>
      <c r="C38" s="15">
        <f t="shared" si="0"/>
        <v>31090807.860000003</v>
      </c>
      <c r="D38" s="15">
        <v>2757761.23</v>
      </c>
      <c r="E38" s="16">
        <v>1767.4285714285713</v>
      </c>
      <c r="F38" s="15">
        <v>222.90342951826705</v>
      </c>
    </row>
    <row r="39" spans="1:6" ht="12.75">
      <c r="A39" s="22">
        <v>39361</v>
      </c>
      <c r="B39" s="15">
        <v>31408412</v>
      </c>
      <c r="C39" s="15">
        <f t="shared" si="0"/>
        <v>28856768.98</v>
      </c>
      <c r="D39" s="15">
        <v>2551643.02</v>
      </c>
      <c r="E39" s="16">
        <v>1770</v>
      </c>
      <c r="F39" s="15">
        <v>205.94374656981438</v>
      </c>
    </row>
    <row r="40" spans="1:6" ht="12.75">
      <c r="A40" s="22">
        <v>39368</v>
      </c>
      <c r="B40" s="15">
        <v>31505079.86</v>
      </c>
      <c r="C40" s="15">
        <f t="shared" si="0"/>
        <v>28880470.33</v>
      </c>
      <c r="D40" s="15">
        <v>2624609.53</v>
      </c>
      <c r="E40" s="16">
        <v>1770</v>
      </c>
      <c r="F40" s="15">
        <v>211.83289184826472</v>
      </c>
    </row>
    <row r="41" spans="1:6" ht="12.75">
      <c r="A41" s="22">
        <v>39375</v>
      </c>
      <c r="B41" s="15">
        <v>30547266.939999998</v>
      </c>
      <c r="C41" s="15">
        <f t="shared" si="0"/>
        <v>28087776.22</v>
      </c>
      <c r="D41" s="15">
        <v>2459490.72</v>
      </c>
      <c r="E41" s="16">
        <v>1770</v>
      </c>
      <c r="F41" s="15">
        <v>198.50611138014528</v>
      </c>
    </row>
    <row r="42" spans="1:6" ht="12.75">
      <c r="A42" s="22">
        <v>39382</v>
      </c>
      <c r="B42" s="15">
        <v>30130214.34</v>
      </c>
      <c r="C42" s="15">
        <f t="shared" si="0"/>
        <v>27599161.32</v>
      </c>
      <c r="D42" s="15">
        <v>2531053.02</v>
      </c>
      <c r="E42" s="16">
        <v>1770</v>
      </c>
      <c r="F42" s="15">
        <v>204.2819225181598</v>
      </c>
    </row>
    <row r="43" spans="1:6" ht="12.75">
      <c r="A43" s="22">
        <v>39389</v>
      </c>
      <c r="B43" s="15">
        <v>30677582.93</v>
      </c>
      <c r="C43" s="15">
        <f t="shared" si="0"/>
        <v>28176110.62</v>
      </c>
      <c r="D43" s="15">
        <v>2501472.31</v>
      </c>
      <c r="E43" s="16">
        <v>1770</v>
      </c>
      <c r="F43" s="15">
        <v>201.8944560129136</v>
      </c>
    </row>
    <row r="44" spans="1:6" ht="12.75">
      <c r="A44" s="22">
        <v>39396</v>
      </c>
      <c r="B44" s="15">
        <v>28042268.32</v>
      </c>
      <c r="C44" s="15">
        <f t="shared" si="0"/>
        <v>25714250.01</v>
      </c>
      <c r="D44" s="15">
        <v>2328018.31</v>
      </c>
      <c r="E44" s="16">
        <v>1770</v>
      </c>
      <c r="F44" s="15">
        <v>187.8949402744148</v>
      </c>
    </row>
    <row r="45" spans="1:6" ht="12.75">
      <c r="A45" s="22">
        <v>39403</v>
      </c>
      <c r="B45" s="15">
        <v>26994548.210000005</v>
      </c>
      <c r="C45" s="15">
        <f t="shared" si="0"/>
        <v>24741986.710000005</v>
      </c>
      <c r="D45" s="15">
        <v>2252561.5</v>
      </c>
      <c r="E45" s="16">
        <v>1770</v>
      </c>
      <c r="F45" s="15">
        <v>181.804802259887</v>
      </c>
    </row>
    <row r="46" spans="1:6" ht="12.75">
      <c r="A46" s="22">
        <v>39410</v>
      </c>
      <c r="B46" s="15">
        <v>25801368.369999997</v>
      </c>
      <c r="C46" s="15">
        <f t="shared" si="0"/>
        <v>23601850.97</v>
      </c>
      <c r="D46" s="15">
        <v>2199517.4</v>
      </c>
      <c r="E46" s="16">
        <v>1770</v>
      </c>
      <c r="F46" s="15">
        <v>177.52359967715898</v>
      </c>
    </row>
    <row r="47" spans="1:6" ht="12.75">
      <c r="A47" s="22">
        <v>39417</v>
      </c>
      <c r="B47" s="15">
        <v>27588705.65</v>
      </c>
      <c r="C47" s="15">
        <f t="shared" si="0"/>
        <v>25264481.64</v>
      </c>
      <c r="D47" s="15">
        <v>2324224.01</v>
      </c>
      <c r="E47" s="16">
        <v>1770</v>
      </c>
      <c r="F47" s="15">
        <v>187.58870137207427</v>
      </c>
    </row>
    <row r="48" spans="1:6" ht="12.75">
      <c r="A48" s="22">
        <v>39424</v>
      </c>
      <c r="B48" s="15">
        <v>20866539.84</v>
      </c>
      <c r="C48" s="15">
        <f t="shared" si="0"/>
        <v>19129770.65</v>
      </c>
      <c r="D48" s="15">
        <v>1736769.19</v>
      </c>
      <c r="E48" s="16">
        <v>1770</v>
      </c>
      <c r="F48" s="15">
        <v>140.17507586763517</v>
      </c>
    </row>
    <row r="49" spans="1:6" ht="12.75">
      <c r="A49" s="22">
        <v>39431</v>
      </c>
      <c r="B49" s="15">
        <v>20004501.080000002</v>
      </c>
      <c r="C49" s="15">
        <f t="shared" si="0"/>
        <v>18316316.23</v>
      </c>
      <c r="D49" s="15">
        <v>1688184.85</v>
      </c>
      <c r="E49" s="16">
        <v>1770</v>
      </c>
      <c r="F49" s="15">
        <v>136.25382163034703</v>
      </c>
    </row>
    <row r="50" spans="1:6" ht="12.75">
      <c r="A50" s="22">
        <v>39438</v>
      </c>
      <c r="B50" s="15">
        <v>20216618.240000006</v>
      </c>
      <c r="C50" s="15">
        <f t="shared" si="0"/>
        <v>18558657.430000007</v>
      </c>
      <c r="D50" s="15">
        <v>1657960.81</v>
      </c>
      <c r="E50" s="16">
        <v>1770</v>
      </c>
      <c r="F50" s="15">
        <v>133.8144317998386</v>
      </c>
    </row>
    <row r="51" spans="1:6" ht="12.75">
      <c r="A51" s="22">
        <v>39445</v>
      </c>
      <c r="B51" s="15">
        <v>30308043.1</v>
      </c>
      <c r="C51" s="15">
        <f t="shared" si="0"/>
        <v>27725328.090000004</v>
      </c>
      <c r="D51" s="15">
        <v>2582715.01</v>
      </c>
      <c r="E51" s="16">
        <v>1770</v>
      </c>
      <c r="F51" s="15">
        <v>208.45157465698142</v>
      </c>
    </row>
    <row r="52" spans="1:6" ht="12.75">
      <c r="A52" s="22">
        <v>39452</v>
      </c>
      <c r="B52" s="15">
        <v>28492853.01</v>
      </c>
      <c r="C52" s="15">
        <f t="shared" si="0"/>
        <v>26210086.830000002</v>
      </c>
      <c r="D52" s="15">
        <v>2282766.18</v>
      </c>
      <c r="E52" s="16">
        <v>1770</v>
      </c>
      <c r="F52" s="15">
        <v>184.2426295399516</v>
      </c>
    </row>
    <row r="53" spans="1:6" ht="12.75">
      <c r="A53" s="22">
        <v>39459</v>
      </c>
      <c r="B53" s="15">
        <v>29873634.519999996</v>
      </c>
      <c r="C53" s="15">
        <f t="shared" si="0"/>
        <v>27392113.039999995</v>
      </c>
      <c r="D53" s="15">
        <v>2481521.48</v>
      </c>
      <c r="E53" s="16">
        <v>1770</v>
      </c>
      <c r="F53" s="15">
        <v>200.28421953188055</v>
      </c>
    </row>
    <row r="54" spans="1:6" ht="12.75">
      <c r="A54" s="22">
        <v>39466</v>
      </c>
      <c r="B54" s="15">
        <v>26964176</v>
      </c>
      <c r="C54" s="15">
        <f t="shared" si="0"/>
        <v>24754433.31</v>
      </c>
      <c r="D54" s="15">
        <v>2209742.69</v>
      </c>
      <c r="E54" s="16">
        <v>1770</v>
      </c>
      <c r="F54" s="15">
        <v>178.3488853914447</v>
      </c>
    </row>
    <row r="55" spans="1:6" ht="12.75">
      <c r="A55" s="22">
        <v>39473</v>
      </c>
      <c r="B55" s="15">
        <v>27608857.53</v>
      </c>
      <c r="C55" s="15">
        <f t="shared" si="0"/>
        <v>25344358.580000002</v>
      </c>
      <c r="D55" s="15">
        <v>2264498.95</v>
      </c>
      <c r="E55" s="16">
        <v>1770</v>
      </c>
      <c r="F55" s="15">
        <v>182.7682768361582</v>
      </c>
    </row>
    <row r="56" spans="1:6" ht="12.75">
      <c r="A56" s="22">
        <v>39480</v>
      </c>
      <c r="B56" s="15">
        <v>29985844.21</v>
      </c>
      <c r="C56" s="15">
        <f t="shared" si="0"/>
        <v>27455848.09</v>
      </c>
      <c r="D56" s="15">
        <v>2529996.12</v>
      </c>
      <c r="E56" s="16">
        <v>1770</v>
      </c>
      <c r="F56" s="15">
        <v>204.19661985472155</v>
      </c>
    </row>
    <row r="57" spans="1:6" ht="12.75">
      <c r="A57" s="22">
        <v>39487</v>
      </c>
      <c r="B57" s="15">
        <v>27177562.76</v>
      </c>
      <c r="C57" s="15">
        <f t="shared" si="0"/>
        <v>24896735.880000003</v>
      </c>
      <c r="D57" s="15">
        <v>2280826.88</v>
      </c>
      <c r="E57" s="16">
        <v>1770</v>
      </c>
      <c r="F57" s="15">
        <v>184.0861081517353</v>
      </c>
    </row>
    <row r="58" spans="1:6" ht="12.75">
      <c r="A58" s="22">
        <v>39494</v>
      </c>
      <c r="B58" s="15">
        <v>27555411.560000002</v>
      </c>
      <c r="C58" s="15">
        <f t="shared" si="0"/>
        <v>25281451.110000003</v>
      </c>
      <c r="D58" s="15">
        <v>2273960.45</v>
      </c>
      <c r="E58" s="16">
        <v>1770</v>
      </c>
      <c r="F58" s="15">
        <v>183.53191686844227</v>
      </c>
    </row>
    <row r="59" spans="1:6" ht="12.75">
      <c r="A59" s="22">
        <v>39501</v>
      </c>
      <c r="B59" s="15">
        <v>30498984.119999997</v>
      </c>
      <c r="C59" s="15">
        <f t="shared" si="0"/>
        <v>27954970.659999996</v>
      </c>
      <c r="D59" s="15">
        <v>2544013.46</v>
      </c>
      <c r="E59" s="16">
        <v>1770</v>
      </c>
      <c r="F59" s="15">
        <v>205.32796287328492</v>
      </c>
    </row>
    <row r="60" spans="1:6" ht="12.75">
      <c r="A60" s="22">
        <v>39508</v>
      </c>
      <c r="B60" s="15">
        <v>29048535.17</v>
      </c>
      <c r="C60" s="15">
        <f t="shared" si="0"/>
        <v>26647219.71</v>
      </c>
      <c r="D60" s="15">
        <v>2401315.46</v>
      </c>
      <c r="E60" s="16">
        <v>1770</v>
      </c>
      <c r="F60" s="15">
        <v>193.81077158999193</v>
      </c>
    </row>
    <row r="61" spans="1:6" ht="12.75">
      <c r="A61" s="22">
        <v>39515</v>
      </c>
      <c r="B61" s="15">
        <v>30370330.78000001</v>
      </c>
      <c r="C61" s="15">
        <f t="shared" si="0"/>
        <v>27864166.22000001</v>
      </c>
      <c r="D61" s="15">
        <v>2506164.56</v>
      </c>
      <c r="E61" s="16">
        <v>1770</v>
      </c>
      <c r="F61" s="15">
        <v>202.27316868442293</v>
      </c>
    </row>
    <row r="62" spans="1:6" ht="12.75">
      <c r="A62" s="22">
        <v>39522</v>
      </c>
      <c r="B62" s="15">
        <v>30937349.98</v>
      </c>
      <c r="C62" s="15">
        <f t="shared" si="0"/>
        <v>28363471.97</v>
      </c>
      <c r="D62" s="15">
        <v>2573878.01</v>
      </c>
      <c r="E62" s="16">
        <v>1770</v>
      </c>
      <c r="F62" s="15">
        <v>207.73833817594831</v>
      </c>
    </row>
    <row r="63" spans="1:6" ht="12.75">
      <c r="A63" s="22">
        <v>39529</v>
      </c>
      <c r="B63" s="15">
        <v>29860837.55</v>
      </c>
      <c r="C63" s="15">
        <f t="shared" si="0"/>
        <v>27269736.650000002</v>
      </c>
      <c r="D63" s="15">
        <v>2591100.9</v>
      </c>
      <c r="E63" s="16">
        <v>1770</v>
      </c>
      <c r="F63" s="15">
        <v>209.128401937046</v>
      </c>
    </row>
    <row r="64" spans="1:6" ht="12.75">
      <c r="A64" s="22">
        <v>39536</v>
      </c>
      <c r="B64" s="15">
        <v>31504121.97</v>
      </c>
      <c r="C64" s="15">
        <f t="shared" si="0"/>
        <v>28904086.84</v>
      </c>
      <c r="D64" s="15">
        <v>2600035.13</v>
      </c>
      <c r="E64" s="16">
        <v>1770</v>
      </c>
      <c r="F64" s="15">
        <v>209.8494858757062</v>
      </c>
    </row>
    <row r="65" ht="12.75">
      <c r="A65" s="22"/>
    </row>
    <row r="66" spans="1:6" ht="13.5" thickBot="1">
      <c r="A66" s="3" t="s">
        <v>8</v>
      </c>
      <c r="B66" s="17">
        <f>SUM(B13:B64)</f>
        <v>1612802807.3799994</v>
      </c>
      <c r="C66" s="17">
        <f>SUM(C13:C64)</f>
        <v>1480866087.46</v>
      </c>
      <c r="D66" s="17">
        <f>SUM(D13:D64)</f>
        <v>131936719.92</v>
      </c>
      <c r="E66" s="24">
        <f>SUM(E13:E64)/COUNT(E13:E64)</f>
        <v>1702</v>
      </c>
      <c r="F66" s="17">
        <f>+D66/SUM(E13:E64)/7</f>
        <v>212.96328805154891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  <row r="69" ht="12.75">
      <c r="A69" s="3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7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ht="18">
      <c r="A1" s="37" t="s">
        <v>16</v>
      </c>
      <c r="B1" s="37"/>
      <c r="C1" s="37"/>
      <c r="D1" s="37"/>
      <c r="E1" s="37"/>
      <c r="F1" s="37"/>
      <c r="G1" s="26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27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27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28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29"/>
      <c r="H5" s="29"/>
      <c r="I5" s="29"/>
    </row>
    <row r="6" spans="1:6" s="1" customFormat="1" ht="14.25">
      <c r="A6" s="31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1" t="s">
        <v>14</v>
      </c>
      <c r="B8" s="42"/>
      <c r="C8" s="42"/>
      <c r="D8" s="42"/>
      <c r="E8" s="42"/>
      <c r="F8" s="43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28074598.9</v>
      </c>
      <c r="C13" s="15">
        <f aca="true" t="shared" si="0" ref="C13:C64">+B13-D13</f>
        <v>25799061.31</v>
      </c>
      <c r="D13" s="15">
        <v>2275537.59</v>
      </c>
      <c r="E13" s="16">
        <v>1324</v>
      </c>
      <c r="F13" s="15">
        <v>245.526282908934</v>
      </c>
    </row>
    <row r="14" spans="1:6" ht="12.75">
      <c r="A14" s="22">
        <v>38822</v>
      </c>
      <c r="B14" s="15">
        <v>25554164.549999997</v>
      </c>
      <c r="C14" s="15">
        <f t="shared" si="0"/>
        <v>23503874.299999997</v>
      </c>
      <c r="D14" s="15">
        <v>2050290.25</v>
      </c>
      <c r="E14" s="16">
        <v>1324</v>
      </c>
      <c r="F14" s="15">
        <v>221.22251294777732</v>
      </c>
    </row>
    <row r="15" spans="1:6" ht="12.75">
      <c r="A15" s="22">
        <v>38829</v>
      </c>
      <c r="B15" s="15">
        <v>28650459.21</v>
      </c>
      <c r="C15" s="15">
        <f t="shared" si="0"/>
        <v>26291870.51</v>
      </c>
      <c r="D15" s="15">
        <v>2358588.7</v>
      </c>
      <c r="E15" s="16">
        <v>1324</v>
      </c>
      <c r="F15" s="15">
        <v>254.487343547691</v>
      </c>
    </row>
    <row r="16" spans="1:6" ht="12.75">
      <c r="A16" s="22">
        <v>38836</v>
      </c>
      <c r="B16" s="15">
        <v>29196450.14</v>
      </c>
      <c r="C16" s="15">
        <f t="shared" si="0"/>
        <v>26845658.810000002</v>
      </c>
      <c r="D16" s="15">
        <v>2350791.33</v>
      </c>
      <c r="E16" s="16">
        <v>1324</v>
      </c>
      <c r="F16" s="15">
        <v>253.64602179542513</v>
      </c>
    </row>
    <row r="17" spans="1:6" ht="12.75">
      <c r="A17" s="22">
        <v>38843</v>
      </c>
      <c r="B17" s="15">
        <v>30011599.66</v>
      </c>
      <c r="C17" s="15">
        <f t="shared" si="0"/>
        <v>27556591.2</v>
      </c>
      <c r="D17" s="15">
        <v>2455008.46</v>
      </c>
      <c r="E17" s="16">
        <v>1324</v>
      </c>
      <c r="F17" s="15">
        <v>264.8908567112646</v>
      </c>
    </row>
    <row r="18" spans="1:6" ht="12.75">
      <c r="A18" s="22">
        <v>38850</v>
      </c>
      <c r="B18" s="15">
        <v>27837316.03</v>
      </c>
      <c r="C18" s="15">
        <f t="shared" si="0"/>
        <v>25641158.080000002</v>
      </c>
      <c r="D18" s="15">
        <v>2196157.95</v>
      </c>
      <c r="E18" s="16">
        <v>1324</v>
      </c>
      <c r="F18" s="15">
        <v>236.9613670694864</v>
      </c>
    </row>
    <row r="19" spans="1:6" ht="12.75">
      <c r="A19" s="22">
        <v>38857</v>
      </c>
      <c r="B19" s="15">
        <v>29502766.049999997</v>
      </c>
      <c r="C19" s="15">
        <f t="shared" si="0"/>
        <v>27099766.259999998</v>
      </c>
      <c r="D19" s="15">
        <v>2402999.79</v>
      </c>
      <c r="E19" s="16">
        <v>1324</v>
      </c>
      <c r="F19" s="15">
        <v>259.2792177384549</v>
      </c>
    </row>
    <row r="20" spans="1:6" ht="12.75">
      <c r="A20" s="22">
        <v>38864</v>
      </c>
      <c r="B20" s="15">
        <v>27350602.97</v>
      </c>
      <c r="C20" s="15">
        <f t="shared" si="0"/>
        <v>25146967.63</v>
      </c>
      <c r="D20" s="15">
        <v>2203635.34</v>
      </c>
      <c r="E20" s="16">
        <v>1324</v>
      </c>
      <c r="F20" s="15">
        <v>237.76816357358652</v>
      </c>
    </row>
    <row r="21" spans="1:6" ht="12.75">
      <c r="A21" s="22">
        <v>38871</v>
      </c>
      <c r="B21" s="15">
        <v>32120596.22</v>
      </c>
      <c r="C21" s="15">
        <f t="shared" si="0"/>
        <v>29508392.549999997</v>
      </c>
      <c r="D21" s="15">
        <v>2612203.67</v>
      </c>
      <c r="E21" s="16">
        <v>1324</v>
      </c>
      <c r="F21" s="15">
        <v>281.851928139836</v>
      </c>
    </row>
    <row r="22" spans="1:6" ht="12.75">
      <c r="A22" s="22">
        <v>38878</v>
      </c>
      <c r="B22" s="15">
        <v>29419845.56</v>
      </c>
      <c r="C22" s="15">
        <f t="shared" si="0"/>
        <v>27065155.759999998</v>
      </c>
      <c r="D22" s="15">
        <v>2354689.8</v>
      </c>
      <c r="E22" s="16">
        <v>1324</v>
      </c>
      <c r="F22" s="15">
        <v>254.06665947345704</v>
      </c>
    </row>
    <row r="23" spans="1:6" ht="12.75">
      <c r="A23" s="22">
        <v>38885</v>
      </c>
      <c r="B23" s="15">
        <v>25647196.73</v>
      </c>
      <c r="C23" s="15">
        <f t="shared" si="0"/>
        <v>23457379.02</v>
      </c>
      <c r="D23" s="15">
        <v>2189817.71</v>
      </c>
      <c r="E23" s="16">
        <v>1324</v>
      </c>
      <c r="F23" s="15">
        <v>236.27726694000862</v>
      </c>
    </row>
    <row r="24" spans="1:6" ht="12.75">
      <c r="A24" s="22">
        <v>38892</v>
      </c>
      <c r="B24" s="15">
        <v>26418508.150000002</v>
      </c>
      <c r="C24" s="15">
        <f t="shared" si="0"/>
        <v>24219084.540000003</v>
      </c>
      <c r="D24" s="15">
        <v>2199423.61</v>
      </c>
      <c r="E24" s="16">
        <v>1324</v>
      </c>
      <c r="F24" s="15">
        <v>237.31372572291755</v>
      </c>
    </row>
    <row r="25" spans="1:6" ht="12.75">
      <c r="A25" s="22">
        <v>38899</v>
      </c>
      <c r="B25" s="15">
        <v>29259429.740000002</v>
      </c>
      <c r="C25" s="15">
        <f t="shared" si="0"/>
        <v>26911799.480000004</v>
      </c>
      <c r="D25" s="15">
        <v>2347630.26</v>
      </c>
      <c r="E25" s="16">
        <v>1324</v>
      </c>
      <c r="F25" s="15">
        <v>253.30494820889078</v>
      </c>
    </row>
    <row r="26" spans="1:6" ht="12.75">
      <c r="A26" s="22">
        <v>38906</v>
      </c>
      <c r="B26" s="15">
        <v>33658438.230000004</v>
      </c>
      <c r="C26" s="15">
        <f t="shared" si="0"/>
        <v>30904846.060000002</v>
      </c>
      <c r="D26" s="15">
        <v>2753592.17</v>
      </c>
      <c r="E26" s="16">
        <v>1324</v>
      </c>
      <c r="F26" s="15">
        <v>297.1074848942598</v>
      </c>
    </row>
    <row r="27" spans="1:6" ht="12.75">
      <c r="A27" s="22">
        <v>38913</v>
      </c>
      <c r="B27" s="15">
        <v>29312951.580000002</v>
      </c>
      <c r="C27" s="15">
        <f t="shared" si="0"/>
        <v>26974855.3</v>
      </c>
      <c r="D27" s="15">
        <v>2338096.28</v>
      </c>
      <c r="E27" s="16">
        <v>1324</v>
      </c>
      <c r="F27" s="15">
        <v>252.27624946050932</v>
      </c>
    </row>
    <row r="28" spans="1:6" ht="12.75">
      <c r="A28" s="22">
        <v>38920</v>
      </c>
      <c r="B28" s="15">
        <v>27768593.99</v>
      </c>
      <c r="C28" s="15">
        <f t="shared" si="0"/>
        <v>25407944.169999998</v>
      </c>
      <c r="D28" s="15">
        <v>2360649.82</v>
      </c>
      <c r="E28" s="16">
        <v>1324</v>
      </c>
      <c r="F28" s="15">
        <v>254.70973457056542</v>
      </c>
    </row>
    <row r="29" spans="1:6" ht="12.75">
      <c r="A29" s="22">
        <v>38927</v>
      </c>
      <c r="B29" s="15">
        <v>31251743.25</v>
      </c>
      <c r="C29" s="15">
        <f t="shared" si="0"/>
        <v>28626884.14</v>
      </c>
      <c r="D29" s="15">
        <v>2624859.11</v>
      </c>
      <c r="E29" s="16">
        <v>1324</v>
      </c>
      <c r="F29" s="15">
        <v>283.217426629262</v>
      </c>
    </row>
    <row r="30" spans="1:6" ht="12.75">
      <c r="A30" s="22">
        <v>38934</v>
      </c>
      <c r="B30" s="15">
        <v>30963369.55</v>
      </c>
      <c r="C30" s="15">
        <f t="shared" si="0"/>
        <v>28458697.34</v>
      </c>
      <c r="D30" s="15">
        <v>2504672.21</v>
      </c>
      <c r="E30" s="16">
        <v>1324</v>
      </c>
      <c r="F30" s="15">
        <v>270.24948316788954</v>
      </c>
    </row>
    <row r="31" spans="1:6" ht="12.75">
      <c r="A31" s="22">
        <v>38941</v>
      </c>
      <c r="B31" s="15">
        <v>30770240.350000005</v>
      </c>
      <c r="C31" s="15">
        <f t="shared" si="0"/>
        <v>28289385.480000004</v>
      </c>
      <c r="D31" s="15">
        <v>2480854.87</v>
      </c>
      <c r="E31" s="16">
        <v>1324</v>
      </c>
      <c r="F31" s="15">
        <v>267.6796363832542</v>
      </c>
    </row>
    <row r="32" spans="1:6" ht="12.75">
      <c r="A32" s="22">
        <v>38948</v>
      </c>
      <c r="B32" s="15">
        <v>33052717.880000003</v>
      </c>
      <c r="C32" s="15">
        <f t="shared" si="0"/>
        <v>30391351.740000002</v>
      </c>
      <c r="D32" s="15">
        <v>2661366.14</v>
      </c>
      <c r="E32" s="16">
        <v>1324</v>
      </c>
      <c r="F32" s="15">
        <v>287.1564674147604</v>
      </c>
    </row>
    <row r="33" spans="1:6" ht="12.75">
      <c r="A33" s="22">
        <v>38955</v>
      </c>
      <c r="B33" s="15">
        <v>31517422.07</v>
      </c>
      <c r="C33" s="15">
        <f t="shared" si="0"/>
        <v>28993734.13</v>
      </c>
      <c r="D33" s="15">
        <v>2523687.94</v>
      </c>
      <c r="E33" s="16">
        <v>1324</v>
      </c>
      <c r="F33" s="15">
        <v>272.3012451445835</v>
      </c>
    </row>
    <row r="34" spans="1:6" ht="12.75">
      <c r="A34" s="22">
        <v>38962</v>
      </c>
      <c r="B34" s="15">
        <v>34275910.489999995</v>
      </c>
      <c r="C34" s="15">
        <f t="shared" si="0"/>
        <v>31508172.909999996</v>
      </c>
      <c r="D34" s="15">
        <v>2767737.58</v>
      </c>
      <c r="E34" s="16">
        <v>1330</v>
      </c>
      <c r="F34" s="15">
        <v>297.2865284640171</v>
      </c>
    </row>
    <row r="35" spans="1:6" ht="12.75">
      <c r="A35" s="22">
        <v>38969</v>
      </c>
      <c r="B35" s="15">
        <v>30847096.18</v>
      </c>
      <c r="C35" s="15">
        <f t="shared" si="0"/>
        <v>28430527.97</v>
      </c>
      <c r="D35" s="15">
        <v>2416568.21</v>
      </c>
      <c r="E35" s="16">
        <v>1331</v>
      </c>
      <c r="F35" s="15">
        <v>259.3719233658903</v>
      </c>
    </row>
    <row r="36" spans="1:6" ht="12.75">
      <c r="A36" s="22">
        <v>38976</v>
      </c>
      <c r="B36" s="15">
        <v>28331303.390000004</v>
      </c>
      <c r="C36" s="15">
        <f t="shared" si="0"/>
        <v>26007622.030000005</v>
      </c>
      <c r="D36" s="15">
        <v>2323681.36</v>
      </c>
      <c r="E36" s="16">
        <v>1331</v>
      </c>
      <c r="F36" s="15">
        <v>249.40231404958675</v>
      </c>
    </row>
    <row r="37" spans="1:6" ht="12.75">
      <c r="A37" s="22">
        <v>38983</v>
      </c>
      <c r="B37" s="15">
        <v>28073331.849999998</v>
      </c>
      <c r="C37" s="15">
        <f t="shared" si="0"/>
        <v>25779283.11</v>
      </c>
      <c r="D37" s="15">
        <v>2294048.74</v>
      </c>
      <c r="E37" s="16">
        <v>1331</v>
      </c>
      <c r="F37" s="15">
        <v>246.22182462165935</v>
      </c>
    </row>
    <row r="38" spans="1:6" ht="12.75">
      <c r="A38" s="22">
        <v>38990</v>
      </c>
      <c r="B38" s="15">
        <v>28838317.58</v>
      </c>
      <c r="C38" s="15">
        <f t="shared" si="0"/>
        <v>26548931.869999997</v>
      </c>
      <c r="D38" s="15">
        <v>2289385.71</v>
      </c>
      <c r="E38" s="16">
        <v>1331</v>
      </c>
      <c r="F38" s="15">
        <v>245.72133841365246</v>
      </c>
    </row>
    <row r="39" spans="1:6" ht="12.75">
      <c r="A39" s="22">
        <v>38997</v>
      </c>
      <c r="B39" s="15">
        <v>27654667.839999996</v>
      </c>
      <c r="C39" s="15">
        <f t="shared" si="0"/>
        <v>25357395.319999997</v>
      </c>
      <c r="D39" s="15">
        <v>2297272.52</v>
      </c>
      <c r="E39" s="16">
        <v>1331</v>
      </c>
      <c r="F39" s="15">
        <v>246.5678351400666</v>
      </c>
    </row>
    <row r="40" spans="1:6" ht="12.75">
      <c r="A40" s="22">
        <v>39004</v>
      </c>
      <c r="B40" s="15">
        <v>27053935.54</v>
      </c>
      <c r="C40" s="15">
        <f t="shared" si="0"/>
        <v>24899955.32</v>
      </c>
      <c r="D40" s="15">
        <v>2153980.22</v>
      </c>
      <c r="E40" s="16">
        <v>1331</v>
      </c>
      <c r="F40" s="15">
        <v>231.18817430503378</v>
      </c>
    </row>
    <row r="41" spans="1:6" ht="12.75">
      <c r="A41" s="22">
        <v>39011</v>
      </c>
      <c r="B41" s="15">
        <v>29065661.16</v>
      </c>
      <c r="C41" s="15">
        <f t="shared" si="0"/>
        <v>26809317.27</v>
      </c>
      <c r="D41" s="15">
        <v>2256343.89</v>
      </c>
      <c r="E41" s="16">
        <v>1331</v>
      </c>
      <c r="F41" s="15">
        <v>242.1749372115488</v>
      </c>
    </row>
    <row r="42" spans="1:6" ht="12.75">
      <c r="A42" s="22">
        <v>39018</v>
      </c>
      <c r="B42" s="15">
        <v>26691907.67</v>
      </c>
      <c r="C42" s="15">
        <f t="shared" si="0"/>
        <v>24651503.520000003</v>
      </c>
      <c r="D42" s="15">
        <v>2040404.15</v>
      </c>
      <c r="E42" s="16">
        <v>1331</v>
      </c>
      <c r="F42" s="15">
        <v>218.99797681657188</v>
      </c>
    </row>
    <row r="43" spans="1:6" ht="12.75">
      <c r="A43" s="22">
        <v>39025</v>
      </c>
      <c r="B43" s="15">
        <v>29849717.1</v>
      </c>
      <c r="C43" s="15">
        <f t="shared" si="0"/>
        <v>27537734.28</v>
      </c>
      <c r="D43" s="15">
        <v>2311982.82</v>
      </c>
      <c r="E43" s="16">
        <v>1331</v>
      </c>
      <c r="F43" s="15">
        <v>248.14670172802403</v>
      </c>
    </row>
    <row r="44" spans="1:6" ht="12.75">
      <c r="A44" s="22">
        <v>39032</v>
      </c>
      <c r="B44" s="15">
        <v>28409005.199999996</v>
      </c>
      <c r="C44" s="15">
        <f t="shared" si="0"/>
        <v>26244506.819999997</v>
      </c>
      <c r="D44" s="15">
        <v>2164498.38</v>
      </c>
      <c r="E44" s="16">
        <v>1331</v>
      </c>
      <c r="F44" s="15">
        <v>232.31709563164108</v>
      </c>
    </row>
    <row r="45" spans="1:6" ht="12.75">
      <c r="A45" s="22">
        <v>39039</v>
      </c>
      <c r="B45" s="15">
        <v>26641145.79</v>
      </c>
      <c r="C45" s="15">
        <f t="shared" si="0"/>
        <v>24588735.919999998</v>
      </c>
      <c r="D45" s="15">
        <v>2052409.87</v>
      </c>
      <c r="E45" s="16">
        <v>1331</v>
      </c>
      <c r="F45" s="15">
        <v>220.28655897821187</v>
      </c>
    </row>
    <row r="46" spans="1:6" ht="12.75">
      <c r="A46" s="22">
        <v>39046</v>
      </c>
      <c r="B46" s="15">
        <v>27730723.2</v>
      </c>
      <c r="C46" s="15">
        <f t="shared" si="0"/>
        <v>25489684.36</v>
      </c>
      <c r="D46" s="15">
        <v>2241038.84</v>
      </c>
      <c r="E46" s="16">
        <v>1331</v>
      </c>
      <c r="F46" s="15">
        <v>240.5322356981861</v>
      </c>
    </row>
    <row r="47" spans="1:6" ht="12.75">
      <c r="A47" s="22">
        <v>39053</v>
      </c>
      <c r="B47" s="15">
        <v>27253257.900000002</v>
      </c>
      <c r="C47" s="15">
        <f t="shared" si="0"/>
        <v>25004398.12</v>
      </c>
      <c r="D47" s="15">
        <v>2248859.78</v>
      </c>
      <c r="E47" s="16">
        <v>1331</v>
      </c>
      <c r="F47" s="15">
        <v>241.3716625523237</v>
      </c>
    </row>
    <row r="48" spans="1:6" ht="12.75">
      <c r="A48" s="22">
        <v>39060</v>
      </c>
      <c r="B48" s="15">
        <v>22342634.5</v>
      </c>
      <c r="C48" s="15">
        <f t="shared" si="0"/>
        <v>20519020.06</v>
      </c>
      <c r="D48" s="15">
        <v>1823614.44</v>
      </c>
      <c r="E48" s="16">
        <v>1331</v>
      </c>
      <c r="F48" s="15">
        <v>195.7297885585489</v>
      </c>
    </row>
    <row r="49" spans="1:6" ht="12.75">
      <c r="A49" s="22">
        <v>39067</v>
      </c>
      <c r="B49" s="15">
        <v>24505812.740000002</v>
      </c>
      <c r="C49" s="15">
        <f t="shared" si="0"/>
        <v>22592208.37</v>
      </c>
      <c r="D49" s="15">
        <v>1913604.37</v>
      </c>
      <c r="E49" s="16">
        <v>1331</v>
      </c>
      <c r="F49" s="15">
        <v>205.38846946441984</v>
      </c>
    </row>
    <row r="50" spans="1:6" ht="12.75">
      <c r="A50" s="22">
        <v>39074</v>
      </c>
      <c r="B50" s="15">
        <v>23194690.92</v>
      </c>
      <c r="C50" s="15">
        <f t="shared" si="0"/>
        <v>21375324.840000004</v>
      </c>
      <c r="D50" s="15">
        <v>1819366.08</v>
      </c>
      <c r="E50" s="16">
        <v>1331</v>
      </c>
      <c r="F50" s="15">
        <v>195.27380916604056</v>
      </c>
    </row>
    <row r="51" spans="1:6" ht="12.75">
      <c r="A51" s="22">
        <v>39081</v>
      </c>
      <c r="B51" s="15">
        <v>28926064.47</v>
      </c>
      <c r="C51" s="15">
        <f t="shared" si="0"/>
        <v>26550704.54</v>
      </c>
      <c r="D51" s="15">
        <v>2375359.93</v>
      </c>
      <c r="E51" s="16">
        <v>1331</v>
      </c>
      <c r="F51" s="15">
        <v>254.9490104110765</v>
      </c>
    </row>
    <row r="52" spans="1:6" ht="12.75">
      <c r="A52" s="22">
        <v>39088</v>
      </c>
      <c r="B52" s="15">
        <v>31565912.289999995</v>
      </c>
      <c r="C52" s="15">
        <f t="shared" si="0"/>
        <v>29055499.689999994</v>
      </c>
      <c r="D52" s="15">
        <v>2510412.6</v>
      </c>
      <c r="E52" s="16">
        <v>1331</v>
      </c>
      <c r="F52" s="15">
        <v>269.44430610711606</v>
      </c>
    </row>
    <row r="53" spans="1:6" ht="12.75">
      <c r="A53" s="22">
        <v>39095</v>
      </c>
      <c r="B53" s="15">
        <v>26374731.96</v>
      </c>
      <c r="C53" s="15">
        <f t="shared" si="0"/>
        <v>24454806.330000002</v>
      </c>
      <c r="D53" s="15">
        <v>1919925.63</v>
      </c>
      <c r="E53" s="16">
        <v>1331</v>
      </c>
      <c r="F53" s="15">
        <v>206.06693463561228</v>
      </c>
    </row>
    <row r="54" spans="1:6" ht="12.75">
      <c r="A54" s="22">
        <v>39102</v>
      </c>
      <c r="B54" s="15">
        <v>21304600.380000003</v>
      </c>
      <c r="C54" s="15">
        <f t="shared" si="0"/>
        <v>19627108.96</v>
      </c>
      <c r="D54" s="15">
        <v>1677491.42</v>
      </c>
      <c r="E54" s="16">
        <v>1331</v>
      </c>
      <c r="F54" s="15">
        <v>180.04630460448644</v>
      </c>
    </row>
    <row r="55" spans="1:6" ht="12.75">
      <c r="A55" s="22">
        <v>39109</v>
      </c>
      <c r="B55" s="15">
        <v>24608105.439999998</v>
      </c>
      <c r="C55" s="15">
        <f t="shared" si="0"/>
        <v>22586382.549999997</v>
      </c>
      <c r="D55" s="15">
        <v>2021722.89</v>
      </c>
      <c r="E55" s="16">
        <v>1331</v>
      </c>
      <c r="F55" s="15">
        <v>216.9929043683589</v>
      </c>
    </row>
    <row r="56" spans="1:6" ht="12.75">
      <c r="A56" s="22">
        <v>39116</v>
      </c>
      <c r="B56" s="15">
        <v>29486846.35</v>
      </c>
      <c r="C56" s="15">
        <f t="shared" si="0"/>
        <v>27174741.560000002</v>
      </c>
      <c r="D56" s="15">
        <v>2312104.79</v>
      </c>
      <c r="E56" s="16">
        <v>1331</v>
      </c>
      <c r="F56" s="15">
        <v>248.15979285177633</v>
      </c>
    </row>
    <row r="57" spans="1:6" ht="12.75">
      <c r="A57" s="22">
        <v>39123</v>
      </c>
      <c r="B57" s="15">
        <v>27171631.08</v>
      </c>
      <c r="C57" s="15">
        <f t="shared" si="0"/>
        <v>24985492.49</v>
      </c>
      <c r="D57" s="15">
        <v>2186138.59</v>
      </c>
      <c r="E57" s="16">
        <v>1331</v>
      </c>
      <c r="F57" s="15">
        <v>234.6397542127294</v>
      </c>
    </row>
    <row r="58" spans="1:6" ht="12.75">
      <c r="A58" s="22">
        <v>39130</v>
      </c>
      <c r="B58" s="15">
        <v>25006781.57</v>
      </c>
      <c r="C58" s="15">
        <f t="shared" si="0"/>
        <v>22998269.4</v>
      </c>
      <c r="D58" s="15">
        <v>2008512.17</v>
      </c>
      <c r="E58" s="16">
        <v>1331</v>
      </c>
      <c r="F58" s="15">
        <v>215.574988730278</v>
      </c>
    </row>
    <row r="59" spans="1:6" ht="12.75">
      <c r="A59" s="22">
        <v>39137</v>
      </c>
      <c r="B59" s="15">
        <v>30304631.909999996</v>
      </c>
      <c r="C59" s="15">
        <f t="shared" si="0"/>
        <v>27845456.15</v>
      </c>
      <c r="D59" s="15">
        <v>2459175.76</v>
      </c>
      <c r="E59" s="16">
        <v>1331</v>
      </c>
      <c r="F59" s="15">
        <v>263.94502092948375</v>
      </c>
    </row>
    <row r="60" spans="1:6" ht="12.75">
      <c r="A60" s="22">
        <v>39144</v>
      </c>
      <c r="B60" s="15">
        <v>31371894.339999996</v>
      </c>
      <c r="C60" s="15">
        <f t="shared" si="0"/>
        <v>28881999.569999997</v>
      </c>
      <c r="D60" s="15">
        <v>2489894.77</v>
      </c>
      <c r="E60" s="16">
        <v>1331</v>
      </c>
      <c r="F60" s="15">
        <v>267.24211334120423</v>
      </c>
    </row>
    <row r="61" spans="1:6" ht="12.75">
      <c r="A61" s="22">
        <v>39151</v>
      </c>
      <c r="B61" s="15">
        <v>28417571.259999994</v>
      </c>
      <c r="C61" s="15">
        <f t="shared" si="0"/>
        <v>26101520.939999994</v>
      </c>
      <c r="D61" s="15">
        <v>2316050.32</v>
      </c>
      <c r="E61" s="16">
        <v>1331</v>
      </c>
      <c r="F61" s="15">
        <v>248.58326929269077</v>
      </c>
    </row>
    <row r="62" spans="1:6" ht="12.75">
      <c r="A62" s="22">
        <v>39158</v>
      </c>
      <c r="B62" s="15">
        <v>25320167.090000004</v>
      </c>
      <c r="C62" s="15">
        <f t="shared" si="0"/>
        <v>23326454.590000004</v>
      </c>
      <c r="D62" s="15">
        <v>1993712.5</v>
      </c>
      <c r="E62" s="16">
        <v>1331</v>
      </c>
      <c r="F62" s="15">
        <v>213.9865299989267</v>
      </c>
    </row>
    <row r="63" spans="1:6" ht="12.75">
      <c r="A63" s="25">
        <v>39165</v>
      </c>
      <c r="B63" s="23">
        <v>31244805.189999998</v>
      </c>
      <c r="C63" s="15">
        <f t="shared" si="0"/>
        <v>28710404.83</v>
      </c>
      <c r="D63" s="23">
        <v>2534400.36</v>
      </c>
      <c r="E63" s="16">
        <v>1331</v>
      </c>
      <c r="F63" s="15">
        <v>272.01892883975535</v>
      </c>
    </row>
    <row r="64" spans="1:6" ht="12.75">
      <c r="A64" s="34">
        <v>39172</v>
      </c>
      <c r="B64" s="23">
        <v>34266229.669999994</v>
      </c>
      <c r="C64" s="15">
        <f t="shared" si="0"/>
        <v>31645477.299999993</v>
      </c>
      <c r="D64" s="23">
        <v>2620752.37</v>
      </c>
      <c r="E64" s="16">
        <v>1331</v>
      </c>
      <c r="F64" s="15">
        <v>281.287149296984</v>
      </c>
    </row>
    <row r="66" spans="1:6" ht="13.5" thickBot="1">
      <c r="A66" s="25" t="s">
        <v>13</v>
      </c>
      <c r="B66" s="17">
        <f>SUM(B13:B64)</f>
        <v>1483468102.8600001</v>
      </c>
      <c r="C66" s="17">
        <f>SUM(C13:C64)</f>
        <v>1364383098.7999997</v>
      </c>
      <c r="D66" s="17">
        <f>SUM(D13:D64)</f>
        <v>119085004.06000002</v>
      </c>
      <c r="E66" s="24">
        <f>SUM(E13:E64)/COUNT(E13:E64)</f>
        <v>1328.1538461538462</v>
      </c>
      <c r="F66" s="17">
        <f>+D66/SUM(E13:E64)/7</f>
        <v>246.32432869719187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41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45017</v>
      </c>
      <c r="B12" s="15">
        <v>37759165.93</v>
      </c>
      <c r="C12" s="15">
        <v>189689.41999999998</v>
      </c>
      <c r="D12" s="15">
        <f aca="true" t="shared" si="0" ref="D12:D63">IF(ISBLANK(B12),"",B12-C12-E12)</f>
        <v>34846961.989999995</v>
      </c>
      <c r="E12" s="15">
        <v>2722514.5199999996</v>
      </c>
      <c r="F12" s="16">
        <v>1178</v>
      </c>
      <c r="G12" s="15">
        <f aca="true" t="shared" si="1" ref="G12:G35">IF(ISBLANK(B12),"",E12/F12/7)</f>
        <v>330.1618384671355</v>
      </c>
    </row>
    <row r="13" spans="1:7" ht="12.75">
      <c r="A13" s="22">
        <f aca="true" t="shared" si="2" ref="A13:A63">+A12+7</f>
        <v>45024</v>
      </c>
      <c r="B13" s="15">
        <v>38859367.269999996</v>
      </c>
      <c r="C13" s="15">
        <v>231690.46999999997</v>
      </c>
      <c r="D13" s="15">
        <f>IF(ISBLANK(B13),"",B13-C13-E13)</f>
        <v>35813065.339999996</v>
      </c>
      <c r="E13" s="15">
        <v>2814611.459999999</v>
      </c>
      <c r="F13" s="16">
        <v>1178</v>
      </c>
      <c r="G13" s="15">
        <f t="shared" si="1"/>
        <v>341.3305190395342</v>
      </c>
    </row>
    <row r="14" spans="1:7" ht="12.75">
      <c r="A14" s="22">
        <f t="shared" si="2"/>
        <v>45031</v>
      </c>
      <c r="B14" s="15">
        <v>36979284.230000004</v>
      </c>
      <c r="C14" s="15">
        <v>263853.41000000003</v>
      </c>
      <c r="D14" s="15">
        <f t="shared" si="0"/>
        <v>34094743.370000005</v>
      </c>
      <c r="E14" s="15">
        <v>2620687.45</v>
      </c>
      <c r="F14" s="16">
        <v>1178</v>
      </c>
      <c r="G14" s="15">
        <f t="shared" si="1"/>
        <v>317.8131760853748</v>
      </c>
    </row>
    <row r="15" spans="1:7" ht="12.75">
      <c r="A15" s="22">
        <f t="shared" si="2"/>
        <v>45038</v>
      </c>
      <c r="B15" s="15">
        <v>36433890.88999999</v>
      </c>
      <c r="C15" s="15">
        <v>259581.89</v>
      </c>
      <c r="D15" s="15">
        <f>IF(ISBLANK(B15),"",B15-C15-E15)</f>
        <v>33613215.779999994</v>
      </c>
      <c r="E15" s="15">
        <v>2561093.2199999993</v>
      </c>
      <c r="F15" s="16">
        <v>1171</v>
      </c>
      <c r="G15" s="15">
        <f t="shared" si="1"/>
        <v>312.4427497865072</v>
      </c>
    </row>
    <row r="16" spans="1:7" ht="12.75">
      <c r="A16" s="22">
        <f t="shared" si="2"/>
        <v>45045</v>
      </c>
      <c r="B16" s="15">
        <v>41114650.53999999</v>
      </c>
      <c r="C16" s="15">
        <v>285776.22</v>
      </c>
      <c r="D16" s="15">
        <f>IF(ISBLANK(B16),"",B16-C16-E16)</f>
        <v>37819950.239999995</v>
      </c>
      <c r="E16" s="15">
        <v>3008924.08</v>
      </c>
      <c r="F16" s="16">
        <v>1132</v>
      </c>
      <c r="G16" s="15">
        <f t="shared" si="1"/>
        <v>379.7228773346795</v>
      </c>
    </row>
    <row r="17" spans="1:7" ht="12.75">
      <c r="A17" s="22">
        <f t="shared" si="2"/>
        <v>45052</v>
      </c>
      <c r="B17" s="15">
        <v>39549962.93</v>
      </c>
      <c r="C17" s="15">
        <v>268771.22</v>
      </c>
      <c r="D17" s="15">
        <f aca="true" t="shared" si="3" ref="D17:D35">IF(ISBLANK(B17),"",B17-C17-E17)</f>
        <v>36452357.83</v>
      </c>
      <c r="E17" s="15">
        <v>2828833.88</v>
      </c>
      <c r="F17" s="16">
        <v>1159</v>
      </c>
      <c r="G17" s="15">
        <f t="shared" si="1"/>
        <v>348.67914211758904</v>
      </c>
    </row>
    <row r="18" spans="1:7" ht="12.75">
      <c r="A18" s="22">
        <f t="shared" si="2"/>
        <v>45059</v>
      </c>
      <c r="B18" s="15">
        <v>38141630.33</v>
      </c>
      <c r="C18" s="15">
        <v>264166.62</v>
      </c>
      <c r="D18" s="15">
        <f t="shared" si="3"/>
        <v>35296222.36</v>
      </c>
      <c r="E18" s="15">
        <v>2581241.3499999996</v>
      </c>
      <c r="F18" s="16">
        <v>1228</v>
      </c>
      <c r="G18" s="15">
        <f t="shared" si="1"/>
        <v>300.2840100046533</v>
      </c>
    </row>
    <row r="19" spans="1:7" ht="12.75">
      <c r="A19" s="22">
        <f t="shared" si="2"/>
        <v>45066</v>
      </c>
      <c r="B19" s="15">
        <v>41324194.4</v>
      </c>
      <c r="C19" s="15">
        <v>230028.57</v>
      </c>
      <c r="D19" s="15">
        <f t="shared" si="3"/>
        <v>38263714.69</v>
      </c>
      <c r="E19" s="15">
        <v>2830451.1399999997</v>
      </c>
      <c r="F19" s="16">
        <v>1228</v>
      </c>
      <c r="G19" s="15">
        <f t="shared" si="1"/>
        <v>329.2753769194974</v>
      </c>
    </row>
    <row r="20" spans="1:7" ht="12.75">
      <c r="A20" s="22">
        <f t="shared" si="2"/>
        <v>45073</v>
      </c>
      <c r="B20" s="15">
        <v>38676882.35</v>
      </c>
      <c r="C20" s="15">
        <v>268524.4</v>
      </c>
      <c r="D20" s="15">
        <f t="shared" si="3"/>
        <v>35688870.410000004</v>
      </c>
      <c r="E20" s="15">
        <v>2719487.5400000005</v>
      </c>
      <c r="F20" s="16">
        <v>1228</v>
      </c>
      <c r="G20" s="15">
        <f t="shared" si="1"/>
        <v>316.3666286644952</v>
      </c>
    </row>
    <row r="21" spans="1:7" ht="12.75">
      <c r="A21" s="22">
        <f t="shared" si="2"/>
        <v>45080</v>
      </c>
      <c r="B21" s="15">
        <v>40701778.07</v>
      </c>
      <c r="C21" s="15">
        <v>276981.93999999994</v>
      </c>
      <c r="D21" s="15">
        <f t="shared" si="3"/>
        <v>37618587.13</v>
      </c>
      <c r="E21" s="15">
        <v>2806208.999999999</v>
      </c>
      <c r="F21" s="16">
        <v>1228</v>
      </c>
      <c r="G21" s="15">
        <f t="shared" si="1"/>
        <v>326.4552117263843</v>
      </c>
    </row>
    <row r="22" spans="1:7" ht="12.75">
      <c r="A22" s="22">
        <f t="shared" si="2"/>
        <v>45087</v>
      </c>
      <c r="B22" s="15">
        <v>41100524.49</v>
      </c>
      <c r="C22" s="15">
        <v>286743.16</v>
      </c>
      <c r="D22" s="15">
        <f t="shared" si="3"/>
        <v>37967061.35000001</v>
      </c>
      <c r="E22" s="15">
        <v>2846719.9800000004</v>
      </c>
      <c r="F22" s="16">
        <v>1228</v>
      </c>
      <c r="G22" s="15">
        <f t="shared" si="1"/>
        <v>331.1679827826897</v>
      </c>
    </row>
    <row r="23" spans="1:7" ht="12.75">
      <c r="A23" s="22">
        <f t="shared" si="2"/>
        <v>45094</v>
      </c>
      <c r="B23" s="15">
        <v>41200981.43000001</v>
      </c>
      <c r="C23" s="15">
        <v>212912.65999999997</v>
      </c>
      <c r="D23" s="15">
        <f t="shared" si="3"/>
        <v>38165596.25000001</v>
      </c>
      <c r="E23" s="15">
        <v>2822472.5200000023</v>
      </c>
      <c r="F23" s="16">
        <v>1213</v>
      </c>
      <c r="G23" s="15">
        <f t="shared" si="1"/>
        <v>332.4075515251446</v>
      </c>
    </row>
    <row r="24" spans="1:7" ht="12.75">
      <c r="A24" s="22">
        <f t="shared" si="2"/>
        <v>45101</v>
      </c>
      <c r="B24" s="15">
        <v>42078387.910000004</v>
      </c>
      <c r="C24" s="15">
        <v>290985.76</v>
      </c>
      <c r="D24" s="15">
        <f t="shared" si="3"/>
        <v>38754714.760000005</v>
      </c>
      <c r="E24" s="15">
        <v>3032687.389999999</v>
      </c>
      <c r="F24" s="16">
        <v>1228</v>
      </c>
      <c r="G24" s="15">
        <f t="shared" si="1"/>
        <v>352.8021626337831</v>
      </c>
    </row>
    <row r="25" spans="1:7" ht="12.75">
      <c r="A25" s="22">
        <f t="shared" si="2"/>
        <v>45108</v>
      </c>
      <c r="B25" s="15">
        <v>38924687.74</v>
      </c>
      <c r="C25" s="15">
        <v>256735.38999999996</v>
      </c>
      <c r="D25" s="15">
        <f t="shared" si="3"/>
        <v>35729648.620000005</v>
      </c>
      <c r="E25" s="15">
        <v>2938303.7300000004</v>
      </c>
      <c r="F25" s="16">
        <v>1228</v>
      </c>
      <c r="G25" s="15">
        <f t="shared" si="1"/>
        <v>341.82221149371804</v>
      </c>
    </row>
    <row r="26" spans="1:7" ht="12.75">
      <c r="A26" s="22">
        <f t="shared" si="2"/>
        <v>45115</v>
      </c>
      <c r="B26" s="15">
        <v>45244951.45</v>
      </c>
      <c r="C26" s="15">
        <v>318166.18999999994</v>
      </c>
      <c r="D26" s="15">
        <f t="shared" si="3"/>
        <v>41921459.190000005</v>
      </c>
      <c r="E26" s="15">
        <v>3005326.0699999994</v>
      </c>
      <c r="F26" s="16">
        <v>1228</v>
      </c>
      <c r="G26" s="15">
        <f t="shared" si="1"/>
        <v>349.61913331782216</v>
      </c>
    </row>
    <row r="27" spans="1:7" ht="12.75">
      <c r="A27" s="22">
        <f t="shared" si="2"/>
        <v>45122</v>
      </c>
      <c r="B27" s="15">
        <v>41106240.72</v>
      </c>
      <c r="C27" s="15">
        <v>203518.06</v>
      </c>
      <c r="D27" s="15">
        <f t="shared" si="3"/>
        <v>38104732.3</v>
      </c>
      <c r="E27" s="15">
        <v>2797990.3599999994</v>
      </c>
      <c r="F27" s="16">
        <v>1228</v>
      </c>
      <c r="G27" s="15">
        <f t="shared" si="1"/>
        <v>325.49911121451834</v>
      </c>
    </row>
    <row r="28" spans="1:7" ht="12.75">
      <c r="A28" s="22">
        <f t="shared" si="2"/>
        <v>45129</v>
      </c>
      <c r="B28" s="15">
        <v>44585530.559999995</v>
      </c>
      <c r="C28" s="15">
        <v>304274.8</v>
      </c>
      <c r="D28" s="15">
        <f t="shared" si="3"/>
        <v>41161002.37</v>
      </c>
      <c r="E28" s="15">
        <v>3120253.39</v>
      </c>
      <c r="F28" s="16">
        <v>1228</v>
      </c>
      <c r="G28" s="15">
        <f t="shared" si="1"/>
        <v>362.9889937180084</v>
      </c>
    </row>
    <row r="29" spans="1:7" ht="12.75">
      <c r="A29" s="22">
        <f t="shared" si="2"/>
        <v>45136</v>
      </c>
      <c r="B29" s="15">
        <v>42289185.980000004</v>
      </c>
      <c r="C29" s="15">
        <v>267968.28</v>
      </c>
      <c r="D29" s="15">
        <f t="shared" si="3"/>
        <v>39131179.34</v>
      </c>
      <c r="E29" s="15">
        <v>2890038.3599999994</v>
      </c>
      <c r="F29" s="16">
        <v>1228</v>
      </c>
      <c r="G29" s="15">
        <f t="shared" si="1"/>
        <v>336.2073476035365</v>
      </c>
    </row>
    <row r="30" spans="1:7" ht="12.75">
      <c r="A30" s="22">
        <f t="shared" si="2"/>
        <v>45143</v>
      </c>
      <c r="B30" s="15">
        <v>45145539.36</v>
      </c>
      <c r="C30" s="15">
        <v>279436.75999999995</v>
      </c>
      <c r="D30" s="15">
        <f t="shared" si="3"/>
        <v>41684618.67</v>
      </c>
      <c r="E30" s="15">
        <v>3181483.9299999997</v>
      </c>
      <c r="F30" s="16">
        <v>1228</v>
      </c>
      <c r="G30" s="15">
        <f t="shared" si="1"/>
        <v>370.1121370404839</v>
      </c>
    </row>
    <row r="31" spans="1:7" ht="12.75">
      <c r="A31" s="22">
        <f t="shared" si="2"/>
        <v>45150</v>
      </c>
      <c r="B31" s="15">
        <v>45867786.25</v>
      </c>
      <c r="C31" s="15">
        <v>236561.76</v>
      </c>
      <c r="D31" s="15">
        <f t="shared" si="3"/>
        <v>42532912.620000005</v>
      </c>
      <c r="E31" s="15">
        <v>3098311.87</v>
      </c>
      <c r="F31" s="16">
        <v>1228</v>
      </c>
      <c r="G31" s="15">
        <f t="shared" si="1"/>
        <v>360.4364669613774</v>
      </c>
    </row>
    <row r="32" spans="1:7" ht="12.75">
      <c r="A32" s="22">
        <f t="shared" si="2"/>
        <v>45157</v>
      </c>
      <c r="B32" s="15">
        <v>45008937.69999999</v>
      </c>
      <c r="C32" s="15">
        <v>284807.18</v>
      </c>
      <c r="D32" s="15">
        <f t="shared" si="3"/>
        <v>41713271.21999999</v>
      </c>
      <c r="E32" s="15">
        <v>3010859.3</v>
      </c>
      <c r="F32" s="16">
        <v>1228</v>
      </c>
      <c r="G32" s="15">
        <f t="shared" si="1"/>
        <v>350.2628315495579</v>
      </c>
    </row>
    <row r="33" spans="1:7" ht="12.75">
      <c r="A33" s="22">
        <f t="shared" si="2"/>
        <v>45164</v>
      </c>
      <c r="B33" s="15">
        <v>43753930.79000001</v>
      </c>
      <c r="C33" s="15">
        <v>269687.84</v>
      </c>
      <c r="D33" s="15">
        <f t="shared" si="3"/>
        <v>40461859.22</v>
      </c>
      <c r="E33" s="15">
        <v>3022383.7300000004</v>
      </c>
      <c r="F33" s="16">
        <v>1228</v>
      </c>
      <c r="G33" s="15">
        <f t="shared" si="1"/>
        <v>351.6035051186599</v>
      </c>
    </row>
    <row r="34" spans="1:7" ht="12.75">
      <c r="A34" s="22">
        <f t="shared" si="2"/>
        <v>45171</v>
      </c>
      <c r="B34" s="15">
        <v>45613693.19</v>
      </c>
      <c r="C34" s="15">
        <v>284338.19999999995</v>
      </c>
      <c r="D34" s="15">
        <f t="shared" si="3"/>
        <v>42273543.8</v>
      </c>
      <c r="E34" s="15">
        <v>3055811.1900000004</v>
      </c>
      <c r="F34" s="16">
        <v>1228</v>
      </c>
      <c r="G34" s="15">
        <f t="shared" si="1"/>
        <v>355.492227780363</v>
      </c>
    </row>
    <row r="35" spans="1:7" ht="12.75">
      <c r="A35" s="22">
        <f t="shared" si="2"/>
        <v>45178</v>
      </c>
      <c r="B35" s="15">
        <v>41856527.839999996</v>
      </c>
      <c r="C35" s="15">
        <v>298522.17999999993</v>
      </c>
      <c r="D35" s="15">
        <f t="shared" si="3"/>
        <v>38622003.49999999</v>
      </c>
      <c r="E35" s="15">
        <v>2936002.1600000006</v>
      </c>
      <c r="F35" s="16">
        <v>1228</v>
      </c>
      <c r="G35" s="15">
        <f t="shared" si="1"/>
        <v>341.55446254071666</v>
      </c>
    </row>
    <row r="36" spans="1:7" ht="12.75">
      <c r="A36" s="22">
        <f t="shared" si="2"/>
        <v>45185</v>
      </c>
      <c r="B36" s="15">
        <v>37684716.59</v>
      </c>
      <c r="C36" s="15">
        <v>169351.44</v>
      </c>
      <c r="D36" s="15">
        <f t="shared" si="0"/>
        <v>34782359.010000005</v>
      </c>
      <c r="E36" s="15">
        <v>2733006.140000001</v>
      </c>
      <c r="F36" s="16">
        <v>1228</v>
      </c>
      <c r="G36" s="15">
        <f>IF(ISBLANK(B36),"",E36/F36/7)</f>
        <v>317.93929036761295</v>
      </c>
    </row>
    <row r="37" spans="1:7" ht="12.75">
      <c r="A37" s="22">
        <f t="shared" si="2"/>
        <v>45192</v>
      </c>
      <c r="B37" s="18">
        <v>37309961.480000004</v>
      </c>
      <c r="C37" s="18">
        <v>240133.76</v>
      </c>
      <c r="D37" s="18">
        <f t="shared" si="0"/>
        <v>34545018.52000001</v>
      </c>
      <c r="E37" s="18">
        <v>2524809.1999999993</v>
      </c>
      <c r="F37" s="35">
        <v>1228</v>
      </c>
      <c r="G37" s="18">
        <f aca="true" t="shared" si="4" ref="G37:G63">IF(ISBLANK(B37),"",E37/F37/7)</f>
        <v>293.7190786412284</v>
      </c>
    </row>
    <row r="38" spans="1:7" ht="12.75">
      <c r="A38" s="22">
        <f t="shared" si="2"/>
        <v>45199</v>
      </c>
      <c r="B38" s="18">
        <v>38875323.74</v>
      </c>
      <c r="C38" s="18">
        <v>260502.3</v>
      </c>
      <c r="D38" s="18">
        <f t="shared" si="0"/>
        <v>35809593.620000005</v>
      </c>
      <c r="E38" s="18">
        <v>2805227.8200000003</v>
      </c>
      <c r="F38" s="35">
        <v>1228</v>
      </c>
      <c r="G38" s="18">
        <f t="shared" si="4"/>
        <v>326.3410679385761</v>
      </c>
    </row>
    <row r="39" spans="1:7" ht="12.75">
      <c r="A39" s="22">
        <f t="shared" si="2"/>
        <v>45206</v>
      </c>
      <c r="B39" s="36">
        <v>36123904.239999995</v>
      </c>
      <c r="C39" s="36">
        <v>265433.54</v>
      </c>
      <c r="D39" s="18">
        <f t="shared" si="0"/>
        <v>33272152.089999996</v>
      </c>
      <c r="E39" s="36">
        <v>2586318.609999999</v>
      </c>
      <c r="F39" s="35">
        <v>1223</v>
      </c>
      <c r="G39" s="18">
        <f t="shared" si="4"/>
        <v>302.1047319238405</v>
      </c>
    </row>
    <row r="40" spans="1:7" ht="12.75">
      <c r="A40" s="22">
        <f t="shared" si="2"/>
        <v>45213</v>
      </c>
      <c r="B40" s="18">
        <v>38471685.78</v>
      </c>
      <c r="C40" s="18">
        <v>300092.46</v>
      </c>
      <c r="D40" s="18">
        <f t="shared" si="0"/>
        <v>35304313.67</v>
      </c>
      <c r="E40" s="18">
        <v>2867279.65</v>
      </c>
      <c r="F40" s="35">
        <v>1226</v>
      </c>
      <c r="G40" s="18">
        <f t="shared" si="4"/>
        <v>334.10389769284546</v>
      </c>
    </row>
    <row r="41" spans="1:7" ht="12.75">
      <c r="A41" s="22">
        <f t="shared" si="2"/>
        <v>45220</v>
      </c>
      <c r="B41" s="18">
        <v>37570933.760000005</v>
      </c>
      <c r="C41" s="18">
        <v>215642.83999999997</v>
      </c>
      <c r="D41" s="18">
        <f t="shared" si="0"/>
        <v>34719410.17</v>
      </c>
      <c r="E41" s="18">
        <v>2635880.7499999995</v>
      </c>
      <c r="F41" s="35">
        <v>1226</v>
      </c>
      <c r="G41" s="18">
        <f t="shared" si="4"/>
        <v>307.1406140759729</v>
      </c>
    </row>
    <row r="42" spans="1:7" ht="12.75">
      <c r="A42" s="22">
        <f t="shared" si="2"/>
        <v>45227</v>
      </c>
      <c r="B42" s="15">
        <v>37097094.99</v>
      </c>
      <c r="C42" s="15">
        <v>284863.05</v>
      </c>
      <c r="D42" s="15">
        <f t="shared" si="0"/>
        <v>34310642.39000001</v>
      </c>
      <c r="E42" s="15">
        <v>2501589.55</v>
      </c>
      <c r="F42" s="16">
        <v>1226</v>
      </c>
      <c r="G42" s="15">
        <f t="shared" si="4"/>
        <v>291.4926066185038</v>
      </c>
    </row>
    <row r="43" spans="1:7" ht="12.75">
      <c r="A43" s="22">
        <f t="shared" si="2"/>
        <v>45234</v>
      </c>
      <c r="B43" s="15">
        <v>36927961.44</v>
      </c>
      <c r="C43" s="15">
        <v>286707.79</v>
      </c>
      <c r="D43" s="15">
        <f t="shared" si="0"/>
        <v>34135294.53</v>
      </c>
      <c r="E43" s="15">
        <v>2505959.12</v>
      </c>
      <c r="F43" s="16">
        <v>1226</v>
      </c>
      <c r="G43" s="15">
        <f t="shared" si="4"/>
        <v>292.00176182708</v>
      </c>
    </row>
    <row r="44" spans="1:7" ht="12.75">
      <c r="A44" s="22">
        <f t="shared" si="2"/>
        <v>45241</v>
      </c>
      <c r="B44" s="15">
        <v>36243903.1</v>
      </c>
      <c r="C44" s="15">
        <v>254077.03999999998</v>
      </c>
      <c r="D44" s="15">
        <f t="shared" si="0"/>
        <v>33407903.410000004</v>
      </c>
      <c r="E44" s="15">
        <v>2581922.65</v>
      </c>
      <c r="F44" s="16">
        <v>1226</v>
      </c>
      <c r="G44" s="15">
        <f t="shared" si="4"/>
        <v>300.8532568165929</v>
      </c>
    </row>
    <row r="45" spans="1:7" ht="12.75">
      <c r="A45" s="22">
        <f t="shared" si="2"/>
        <v>45248</v>
      </c>
      <c r="B45" s="15">
        <v>34478286.739999995</v>
      </c>
      <c r="C45" s="15">
        <v>187236.36999999997</v>
      </c>
      <c r="D45" s="15">
        <f t="shared" si="0"/>
        <v>31822131.409999996</v>
      </c>
      <c r="E45" s="15">
        <v>2468918.96</v>
      </c>
      <c r="F45" s="16">
        <v>1226</v>
      </c>
      <c r="G45" s="15">
        <f t="shared" si="4"/>
        <v>287.6857329293871</v>
      </c>
    </row>
    <row r="46" spans="1:7" ht="12.75">
      <c r="A46" s="22">
        <f t="shared" si="2"/>
        <v>45255</v>
      </c>
      <c r="B46" s="15">
        <v>34882756.339999996</v>
      </c>
      <c r="C46" s="15">
        <v>248033.59</v>
      </c>
      <c r="D46" s="15">
        <f t="shared" si="0"/>
        <v>32166846.499999993</v>
      </c>
      <c r="E46" s="15">
        <v>2467876.2499999995</v>
      </c>
      <c r="F46" s="16">
        <v>1226</v>
      </c>
      <c r="G46" s="15">
        <f t="shared" si="4"/>
        <v>287.5642332789559</v>
      </c>
    </row>
    <row r="47" spans="1:7" ht="12.75">
      <c r="A47" s="22">
        <f t="shared" si="2"/>
        <v>45262</v>
      </c>
      <c r="B47" s="15">
        <v>33969741.68000001</v>
      </c>
      <c r="C47" s="15">
        <v>249579.06999999998</v>
      </c>
      <c r="D47" s="15">
        <f t="shared" si="0"/>
        <v>31320020.17000001</v>
      </c>
      <c r="E47" s="15">
        <v>2400142.439999999</v>
      </c>
      <c r="F47" s="16">
        <v>1226</v>
      </c>
      <c r="G47" s="15">
        <f t="shared" si="4"/>
        <v>279.6716895828477</v>
      </c>
    </row>
    <row r="48" spans="1:7" ht="12.75">
      <c r="A48" s="22">
        <f t="shared" si="2"/>
        <v>45269</v>
      </c>
      <c r="B48" s="15">
        <v>32761828.199999996</v>
      </c>
      <c r="C48" s="15">
        <v>219970.97</v>
      </c>
      <c r="D48" s="15">
        <f t="shared" si="0"/>
        <v>30160628.869999997</v>
      </c>
      <c r="E48" s="15">
        <v>2381228.3600000003</v>
      </c>
      <c r="F48" s="16">
        <v>1226</v>
      </c>
      <c r="G48" s="15">
        <f t="shared" si="4"/>
        <v>277.4677650897227</v>
      </c>
    </row>
    <row r="49" spans="1:7" ht="12.75">
      <c r="A49" s="22">
        <f t="shared" si="2"/>
        <v>45276</v>
      </c>
      <c r="B49" s="15">
        <v>31355391.769999996</v>
      </c>
      <c r="C49" s="15">
        <v>166136.5</v>
      </c>
      <c r="D49" s="15">
        <f t="shared" si="0"/>
        <v>28974638.929999996</v>
      </c>
      <c r="E49" s="15">
        <v>2214616.3400000003</v>
      </c>
      <c r="F49" s="16">
        <v>1226</v>
      </c>
      <c r="G49" s="15">
        <f t="shared" si="4"/>
        <v>258.0536401771149</v>
      </c>
    </row>
    <row r="50" spans="1:7" ht="12.75">
      <c r="A50" s="22">
        <f t="shared" si="2"/>
        <v>45283</v>
      </c>
      <c r="B50" s="15">
        <v>30664114.300000004</v>
      </c>
      <c r="C50" s="15">
        <v>218071.97</v>
      </c>
      <c r="D50" s="15">
        <f t="shared" si="0"/>
        <v>28258308.550000004</v>
      </c>
      <c r="E50" s="15">
        <v>2187733.7800000003</v>
      </c>
      <c r="F50" s="16">
        <v>1226</v>
      </c>
      <c r="G50" s="15">
        <f t="shared" si="4"/>
        <v>254.92120484735497</v>
      </c>
    </row>
    <row r="51" spans="1:7" ht="12.75">
      <c r="A51" s="22">
        <f t="shared" si="2"/>
        <v>45290</v>
      </c>
      <c r="B51" s="15">
        <v>39225529.42</v>
      </c>
      <c r="C51" s="15">
        <v>247808.27000000002</v>
      </c>
      <c r="D51" s="15">
        <f t="shared" si="0"/>
        <v>36108226.46</v>
      </c>
      <c r="E51" s="15">
        <v>2869494.6899999995</v>
      </c>
      <c r="F51" s="16">
        <v>1226</v>
      </c>
      <c r="G51" s="15">
        <f t="shared" si="4"/>
        <v>334.3620006991377</v>
      </c>
    </row>
    <row r="52" spans="1:7" ht="12.75">
      <c r="A52" s="22">
        <f t="shared" si="2"/>
        <v>45297</v>
      </c>
      <c r="B52" s="15">
        <v>42167206.839999996</v>
      </c>
      <c r="C52" s="15">
        <v>339315.7</v>
      </c>
      <c r="D52" s="15">
        <f t="shared" si="0"/>
        <v>38977793.28999999</v>
      </c>
      <c r="E52" s="15">
        <v>2850097.850000001</v>
      </c>
      <c r="F52" s="16">
        <v>1226</v>
      </c>
      <c r="G52" s="15">
        <f t="shared" si="4"/>
        <v>332.10182358424623</v>
      </c>
    </row>
    <row r="53" spans="1:7" ht="12.75">
      <c r="A53" s="22">
        <f t="shared" si="2"/>
        <v>45304</v>
      </c>
      <c r="B53" s="15">
        <v>32093213.21</v>
      </c>
      <c r="C53" s="15">
        <v>223684.19999999998</v>
      </c>
      <c r="D53" s="15">
        <f t="shared" si="0"/>
        <v>29581284.020000003</v>
      </c>
      <c r="E53" s="15">
        <v>2288244.99</v>
      </c>
      <c r="F53" s="16">
        <v>1214</v>
      </c>
      <c r="G53" s="15">
        <f t="shared" si="4"/>
        <v>269.26865027065196</v>
      </c>
    </row>
    <row r="54" spans="1:7" ht="12.75">
      <c r="A54" s="22">
        <f t="shared" si="2"/>
        <v>45311</v>
      </c>
      <c r="B54" s="15">
        <v>30724248.25</v>
      </c>
      <c r="C54" s="15">
        <v>176231.00999999998</v>
      </c>
      <c r="D54" s="15">
        <f t="shared" si="0"/>
        <v>28441711.77</v>
      </c>
      <c r="E54" s="15">
        <v>2106305.4699999997</v>
      </c>
      <c r="F54" s="16">
        <v>1226</v>
      </c>
      <c r="G54" s="15">
        <f t="shared" si="4"/>
        <v>245.43293754369606</v>
      </c>
    </row>
    <row r="55" spans="1:7" ht="12.75">
      <c r="A55" s="22">
        <f t="shared" si="2"/>
        <v>45318</v>
      </c>
      <c r="B55" s="15">
        <v>35393379.9</v>
      </c>
      <c r="C55" s="15">
        <v>259264.02</v>
      </c>
      <c r="D55" s="15">
        <f t="shared" si="0"/>
        <v>32638328.149999995</v>
      </c>
      <c r="E55" s="15">
        <v>2495787.7300000004</v>
      </c>
      <c r="F55" s="16">
        <v>1226</v>
      </c>
      <c r="G55" s="15">
        <f t="shared" si="4"/>
        <v>290.81656140759736</v>
      </c>
    </row>
    <row r="56" spans="1:7" ht="12.75">
      <c r="A56" s="22">
        <f t="shared" si="2"/>
        <v>45325</v>
      </c>
      <c r="B56" s="15">
        <v>34078865.16</v>
      </c>
      <c r="C56" s="15">
        <v>243084.11000000002</v>
      </c>
      <c r="D56" s="15">
        <f t="shared" si="0"/>
        <v>31407205.83</v>
      </c>
      <c r="E56" s="15">
        <v>2428575.22</v>
      </c>
      <c r="F56" s="16">
        <v>1226</v>
      </c>
      <c r="G56" s="15">
        <f t="shared" si="4"/>
        <v>282.98476112794225</v>
      </c>
    </row>
    <row r="57" spans="1:7" ht="12.75">
      <c r="A57" s="22">
        <f t="shared" si="2"/>
        <v>45332</v>
      </c>
      <c r="B57" s="15">
        <v>36976726.35</v>
      </c>
      <c r="C57" s="15">
        <v>266714.13</v>
      </c>
      <c r="D57" s="15">
        <f t="shared" si="0"/>
        <v>34165067.67</v>
      </c>
      <c r="E57" s="15">
        <v>2544944.5500000003</v>
      </c>
      <c r="F57" s="16">
        <v>1226</v>
      </c>
      <c r="G57" s="15">
        <f t="shared" si="4"/>
        <v>296.5444593334887</v>
      </c>
    </row>
    <row r="58" spans="1:7" ht="12.75">
      <c r="A58" s="22">
        <f t="shared" si="2"/>
        <v>45339</v>
      </c>
      <c r="B58" s="15">
        <v>36040131.46</v>
      </c>
      <c r="C58" s="15">
        <v>184706.2</v>
      </c>
      <c r="D58" s="15">
        <f t="shared" si="0"/>
        <v>33162059.099999998</v>
      </c>
      <c r="E58" s="15">
        <v>2693366.1600000006</v>
      </c>
      <c r="F58" s="16">
        <v>1226</v>
      </c>
      <c r="G58" s="15">
        <f t="shared" si="4"/>
        <v>313.83898391983223</v>
      </c>
    </row>
    <row r="59" spans="1:7" ht="12.75">
      <c r="A59" s="22">
        <f t="shared" si="2"/>
        <v>45346</v>
      </c>
      <c r="B59" s="15">
        <v>42367928.58</v>
      </c>
      <c r="C59" s="15">
        <v>300651.27999999997</v>
      </c>
      <c r="D59" s="15">
        <f t="shared" si="0"/>
        <v>39239651.66</v>
      </c>
      <c r="E59" s="15">
        <v>2827625.640000001</v>
      </c>
      <c r="F59" s="16">
        <v>1226</v>
      </c>
      <c r="G59" s="15">
        <f t="shared" si="4"/>
        <v>329.48329526916814</v>
      </c>
    </row>
    <row r="60" spans="1:7" ht="12.75">
      <c r="A60" s="22">
        <f t="shared" si="2"/>
        <v>45353</v>
      </c>
      <c r="B60" s="15">
        <v>41887039.169999994</v>
      </c>
      <c r="C60" s="15">
        <v>281077.13999999996</v>
      </c>
      <c r="D60" s="15">
        <f t="shared" si="0"/>
        <v>38761775.68999999</v>
      </c>
      <c r="E60" s="15">
        <v>2844186.340000001</v>
      </c>
      <c r="F60" s="16">
        <v>1226</v>
      </c>
      <c r="G60" s="15">
        <f t="shared" si="4"/>
        <v>331.41299697040324</v>
      </c>
    </row>
    <row r="61" spans="1:7" ht="12.75">
      <c r="A61" s="22">
        <f t="shared" si="2"/>
        <v>45360</v>
      </c>
      <c r="B61" s="15">
        <v>40644407.75</v>
      </c>
      <c r="C61" s="15">
        <v>264521.98</v>
      </c>
      <c r="D61" s="15">
        <f t="shared" si="0"/>
        <v>37505964.02</v>
      </c>
      <c r="E61" s="15">
        <v>2873921.75</v>
      </c>
      <c r="F61" s="16">
        <v>1226</v>
      </c>
      <c r="G61" s="15">
        <f t="shared" si="4"/>
        <v>334.8778548123981</v>
      </c>
    </row>
    <row r="62" spans="1:7" ht="12.75">
      <c r="A62" s="22">
        <f t="shared" si="2"/>
        <v>45367</v>
      </c>
      <c r="B62" s="15">
        <v>40342463.82</v>
      </c>
      <c r="C62" s="15">
        <v>271506.94999999995</v>
      </c>
      <c r="D62" s="15">
        <f t="shared" si="0"/>
        <v>37280487.059999995</v>
      </c>
      <c r="E62" s="15">
        <v>2790469.8100000005</v>
      </c>
      <c r="F62" s="16">
        <v>1226</v>
      </c>
      <c r="G62" s="15">
        <f t="shared" si="4"/>
        <v>325.15378816126787</v>
      </c>
    </row>
    <row r="63" spans="1:7" ht="12.75">
      <c r="A63" s="22">
        <f t="shared" si="2"/>
        <v>45374</v>
      </c>
      <c r="B63" s="15">
        <v>33124132.3</v>
      </c>
      <c r="C63" s="15">
        <v>173480.32000000004</v>
      </c>
      <c r="D63" s="15">
        <f t="shared" si="0"/>
        <v>30509097.89</v>
      </c>
      <c r="E63" s="15">
        <v>2441554.089999999</v>
      </c>
      <c r="F63" s="16">
        <v>1226</v>
      </c>
      <c r="G63" s="15">
        <f t="shared" si="4"/>
        <v>284.49709741319026</v>
      </c>
    </row>
    <row r="64" ht="12.75">
      <c r="A64" s="22"/>
    </row>
    <row r="65" ht="12.75">
      <c r="A65" s="22"/>
    </row>
    <row r="66" spans="1:7" ht="13.5" thickBot="1">
      <c r="A66" s="3" t="s">
        <v>8</v>
      </c>
      <c r="B66" s="17">
        <f>IF(SUM(B12:B65)=0,"",SUM(B12:B65))</f>
        <v>2012800588.71</v>
      </c>
      <c r="C66" s="17">
        <f>IF(SUM(C12:C65)=0,"",SUM(C12:C65))</f>
        <v>13131600.379999997</v>
      </c>
      <c r="D66" s="17">
        <f>IF(SUM(D12:D65)=0,"",SUM(D12:D65))</f>
        <v>1858499206.8000004</v>
      </c>
      <c r="E66" s="17">
        <f>IF(SUM(E12:E65)=0,"",SUM(E12:E65))</f>
        <v>141169781.53</v>
      </c>
      <c r="F66" s="24">
        <f>_xlfn.IFERROR(SUM(F12:F65)/COUNT(F12:F65)," ")</f>
        <v>1219.3076923076924</v>
      </c>
      <c r="G66" s="17">
        <f>_xlfn.IFERROR(E66/SUM(F12:F65)/7," ")</f>
        <v>318.0731759375253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63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ht="18">
      <c r="A1" s="37" t="s">
        <v>16</v>
      </c>
      <c r="B1" s="37"/>
      <c r="C1" s="37"/>
      <c r="D1" s="37"/>
      <c r="E1" s="37"/>
      <c r="F1" s="37"/>
      <c r="G1" s="26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27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27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28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29"/>
      <c r="H5" s="29"/>
      <c r="I5" s="29"/>
    </row>
    <row r="6" spans="1:6" s="1" customFormat="1" ht="14.25">
      <c r="A6" s="31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1" t="s">
        <v>12</v>
      </c>
      <c r="B8" s="42"/>
      <c r="C8" s="42"/>
      <c r="D8" s="42"/>
      <c r="E8" s="42"/>
      <c r="F8" s="43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38444</v>
      </c>
      <c r="B13" s="15">
        <v>26008421.18</v>
      </c>
      <c r="C13" s="15">
        <f aca="true" t="shared" si="0" ref="C13:C19">+B13-D13</f>
        <v>23979836.54</v>
      </c>
      <c r="D13" s="15">
        <v>2028584.64</v>
      </c>
      <c r="E13" s="16">
        <v>1324</v>
      </c>
      <c r="F13" s="15">
        <v>218.8805179110919</v>
      </c>
    </row>
    <row r="14" spans="1:6" ht="12.75">
      <c r="A14" s="22">
        <v>38451</v>
      </c>
      <c r="B14" s="15">
        <v>25525728.31</v>
      </c>
      <c r="C14" s="15">
        <f t="shared" si="0"/>
        <v>23479274.31</v>
      </c>
      <c r="D14" s="15">
        <v>2046454</v>
      </c>
      <c r="E14" s="16">
        <v>1324</v>
      </c>
      <c r="F14" s="15">
        <v>220.8085886922745</v>
      </c>
    </row>
    <row r="15" spans="1:6" ht="12.75">
      <c r="A15" s="22">
        <v>38458</v>
      </c>
      <c r="B15" s="15">
        <v>24299286.31</v>
      </c>
      <c r="C15" s="15">
        <f t="shared" si="0"/>
        <v>22415452.419999998</v>
      </c>
      <c r="D15" s="15">
        <v>1883833.89</v>
      </c>
      <c r="E15" s="16">
        <v>1324</v>
      </c>
      <c r="F15" s="15">
        <v>203.26218062149331</v>
      </c>
    </row>
    <row r="16" spans="1:6" ht="12.75">
      <c r="A16" s="22">
        <v>38465</v>
      </c>
      <c r="B16" s="15">
        <v>25311105.790000003</v>
      </c>
      <c r="C16" s="15">
        <f t="shared" si="0"/>
        <v>23348674.060000002</v>
      </c>
      <c r="D16" s="15">
        <v>1962431.73</v>
      </c>
      <c r="E16" s="16">
        <v>1324</v>
      </c>
      <c r="F16" s="15">
        <v>211.7427416918429</v>
      </c>
    </row>
    <row r="17" spans="1:6" ht="12.75">
      <c r="A17" s="22">
        <v>38472</v>
      </c>
      <c r="B17" s="15">
        <v>25754049.330000002</v>
      </c>
      <c r="C17" s="15">
        <f t="shared" si="0"/>
        <v>23864794.32</v>
      </c>
      <c r="D17" s="15">
        <v>1889255.01</v>
      </c>
      <c r="E17" s="16">
        <v>1324</v>
      </c>
      <c r="F17" s="15">
        <v>203.84710940871818</v>
      </c>
    </row>
    <row r="18" spans="1:6" ht="12.75">
      <c r="A18" s="22">
        <v>38479</v>
      </c>
      <c r="B18" s="15">
        <v>28197946.23</v>
      </c>
      <c r="C18" s="15">
        <f t="shared" si="0"/>
        <v>26032968.98</v>
      </c>
      <c r="D18" s="15">
        <v>2164977.25</v>
      </c>
      <c r="E18" s="16">
        <v>1324</v>
      </c>
      <c r="F18" s="15">
        <v>233.5970274061286</v>
      </c>
    </row>
    <row r="19" spans="1:6" ht="12.75">
      <c r="A19" s="22">
        <v>38486</v>
      </c>
      <c r="B19" s="15">
        <v>26743622.250000004</v>
      </c>
      <c r="C19" s="15">
        <f t="shared" si="0"/>
        <v>24666928.860000003</v>
      </c>
      <c r="D19" s="15">
        <v>2076693.39</v>
      </c>
      <c r="E19" s="16">
        <v>1324</v>
      </c>
      <c r="F19" s="15">
        <v>224.07136275356066</v>
      </c>
    </row>
    <row r="20" spans="1:6" ht="11.25" customHeight="1">
      <c r="A20" s="22">
        <v>38493</v>
      </c>
      <c r="B20" s="15">
        <v>24496269.400000002</v>
      </c>
      <c r="C20" s="15">
        <f>+B20-D20</f>
        <v>22559090.450000003</v>
      </c>
      <c r="D20" s="15">
        <v>1937178.95</v>
      </c>
      <c r="E20" s="16">
        <v>1324</v>
      </c>
      <c r="F20" s="15">
        <v>209.0180135951662</v>
      </c>
    </row>
    <row r="21" spans="1:6" ht="12.75">
      <c r="A21" s="22">
        <v>38500</v>
      </c>
      <c r="B21" s="15">
        <v>27075704.21</v>
      </c>
      <c r="C21" s="15">
        <f aca="true" t="shared" si="1" ref="C21:C65">+B21-D21</f>
        <v>25150316.98</v>
      </c>
      <c r="D21" s="15">
        <v>1925387.23</v>
      </c>
      <c r="E21" s="16">
        <v>1324</v>
      </c>
      <c r="F21" s="15">
        <v>207.74570889080704</v>
      </c>
    </row>
    <row r="22" spans="1:6" ht="12.75">
      <c r="A22" s="22">
        <v>38507</v>
      </c>
      <c r="B22" s="15">
        <v>27308754.32</v>
      </c>
      <c r="C22" s="15">
        <f t="shared" si="1"/>
        <v>25229585.73</v>
      </c>
      <c r="D22" s="15">
        <v>2079168.59</v>
      </c>
      <c r="E22" s="16">
        <v>1324</v>
      </c>
      <c r="F22" s="15">
        <v>224.33843223996547</v>
      </c>
    </row>
    <row r="23" spans="1:6" ht="12.75">
      <c r="A23" s="22">
        <v>38514</v>
      </c>
      <c r="B23" s="15">
        <v>23250881.98</v>
      </c>
      <c r="C23" s="15">
        <f t="shared" si="1"/>
        <v>21365030.07</v>
      </c>
      <c r="D23" s="15">
        <v>1885851.91</v>
      </c>
      <c r="E23" s="16">
        <v>1324</v>
      </c>
      <c r="F23" s="15">
        <v>203.47992123435478</v>
      </c>
    </row>
    <row r="24" spans="1:6" ht="12.75">
      <c r="A24" s="22">
        <v>38521</v>
      </c>
      <c r="B24" s="15">
        <v>24856898.049999997</v>
      </c>
      <c r="C24" s="15">
        <f t="shared" si="1"/>
        <v>22827961.769999996</v>
      </c>
      <c r="D24" s="15">
        <v>2028936.28</v>
      </c>
      <c r="E24" s="16">
        <v>1324</v>
      </c>
      <c r="F24" s="15">
        <v>218.91845921450155</v>
      </c>
    </row>
    <row r="25" spans="1:6" ht="12.75">
      <c r="A25" s="22">
        <v>38528</v>
      </c>
      <c r="B25" s="15">
        <v>23949496.66</v>
      </c>
      <c r="C25" s="15">
        <f t="shared" si="1"/>
        <v>22100124.82</v>
      </c>
      <c r="D25" s="15">
        <v>1849371.84</v>
      </c>
      <c r="E25" s="16">
        <v>1324</v>
      </c>
      <c r="F25" s="15">
        <v>199.54378938282264</v>
      </c>
    </row>
    <row r="26" spans="1:6" ht="12.75">
      <c r="A26" s="22">
        <v>38535</v>
      </c>
      <c r="B26" s="15">
        <v>25115232.96</v>
      </c>
      <c r="C26" s="15">
        <f t="shared" si="1"/>
        <v>23096407.080000002</v>
      </c>
      <c r="D26" s="15">
        <v>2018825.88</v>
      </c>
      <c r="E26" s="16">
        <v>1324</v>
      </c>
      <c r="F26" s="15">
        <v>217.8275658178679</v>
      </c>
    </row>
    <row r="27" spans="1:6" ht="12.75">
      <c r="A27" s="22">
        <v>38542</v>
      </c>
      <c r="B27" s="15">
        <v>28260807.04</v>
      </c>
      <c r="C27" s="15">
        <f t="shared" si="1"/>
        <v>25947138.619999997</v>
      </c>
      <c r="D27" s="15">
        <v>2313668.42</v>
      </c>
      <c r="E27" s="16">
        <v>1324</v>
      </c>
      <c r="F27" s="15">
        <v>249.64052870090634</v>
      </c>
    </row>
    <row r="28" spans="1:6" ht="12.75">
      <c r="A28" s="22">
        <v>38549</v>
      </c>
      <c r="B28" s="15">
        <v>26662840.95</v>
      </c>
      <c r="C28" s="15">
        <f t="shared" si="1"/>
        <v>24570335.369999997</v>
      </c>
      <c r="D28" s="15">
        <v>2092505.58</v>
      </c>
      <c r="E28" s="16">
        <v>1324</v>
      </c>
      <c r="F28" s="15">
        <v>225.77746870953814</v>
      </c>
    </row>
    <row r="29" spans="1:6" ht="12.75">
      <c r="A29" s="22">
        <v>38556</v>
      </c>
      <c r="B29" s="15">
        <v>27473823.740000002</v>
      </c>
      <c r="C29" s="15">
        <f t="shared" si="1"/>
        <v>25270230.230000004</v>
      </c>
      <c r="D29" s="15">
        <v>2203593.51</v>
      </c>
      <c r="E29" s="16">
        <v>1324</v>
      </c>
      <c r="F29" s="15">
        <v>237.7636501942167</v>
      </c>
    </row>
    <row r="30" spans="1:6" ht="12.75">
      <c r="A30" s="22">
        <v>38563</v>
      </c>
      <c r="B30" s="15">
        <v>26787216.63</v>
      </c>
      <c r="C30" s="15">
        <f t="shared" si="1"/>
        <v>24663396.36</v>
      </c>
      <c r="D30" s="15">
        <v>2123820.27</v>
      </c>
      <c r="E30" s="16">
        <v>1324</v>
      </c>
      <c r="F30" s="15">
        <v>229.15626564523092</v>
      </c>
    </row>
    <row r="31" spans="1:6" ht="12.75">
      <c r="A31" s="22">
        <v>38570</v>
      </c>
      <c r="B31" s="15">
        <v>30496235.240000002</v>
      </c>
      <c r="C31" s="15">
        <f t="shared" si="1"/>
        <v>28067106.330000002</v>
      </c>
      <c r="D31" s="15">
        <v>2429128.91</v>
      </c>
      <c r="E31" s="16">
        <v>1324</v>
      </c>
      <c r="F31" s="15">
        <v>262.09850129477775</v>
      </c>
    </row>
    <row r="32" spans="1:6" ht="12.75">
      <c r="A32" s="22">
        <v>38577</v>
      </c>
      <c r="B32" s="15">
        <v>30215028.879999995</v>
      </c>
      <c r="C32" s="15">
        <f t="shared" si="1"/>
        <v>27792773.599999994</v>
      </c>
      <c r="D32" s="15">
        <v>2422255.28</v>
      </c>
      <c r="E32" s="16">
        <v>1324</v>
      </c>
      <c r="F32" s="15">
        <v>261.3568493741908</v>
      </c>
    </row>
    <row r="33" spans="1:6" ht="12.75">
      <c r="A33" s="22">
        <v>38584</v>
      </c>
      <c r="B33" s="15">
        <v>30432940.980000004</v>
      </c>
      <c r="C33" s="15">
        <f t="shared" si="1"/>
        <v>27998042.600000005</v>
      </c>
      <c r="D33" s="15">
        <v>2434898.38</v>
      </c>
      <c r="E33" s="16">
        <v>1324</v>
      </c>
      <c r="F33" s="15">
        <v>262.7210164005179</v>
      </c>
    </row>
    <row r="34" spans="1:6" ht="12.75">
      <c r="A34" s="22">
        <v>38591</v>
      </c>
      <c r="B34" s="15">
        <v>29710447.419999998</v>
      </c>
      <c r="C34" s="15">
        <f t="shared" si="1"/>
        <v>27273438.849999998</v>
      </c>
      <c r="D34" s="15">
        <v>2437008.57</v>
      </c>
      <c r="E34" s="16">
        <v>1324</v>
      </c>
      <c r="F34" s="15">
        <v>262.94870198532584</v>
      </c>
    </row>
    <row r="35" spans="1:6" ht="12.75">
      <c r="A35" s="22">
        <v>38598</v>
      </c>
      <c r="B35" s="15">
        <v>28247928.040000003</v>
      </c>
      <c r="C35" s="15">
        <f t="shared" si="1"/>
        <v>26023979.250000004</v>
      </c>
      <c r="D35" s="15">
        <v>2223948.79</v>
      </c>
      <c r="E35" s="16">
        <v>1324</v>
      </c>
      <c r="F35" s="15">
        <v>239.95994712990938</v>
      </c>
    </row>
    <row r="36" spans="1:6" ht="12.75">
      <c r="A36" s="22">
        <v>38605</v>
      </c>
      <c r="B36" s="15">
        <v>27276281.46</v>
      </c>
      <c r="C36" s="15">
        <f t="shared" si="1"/>
        <v>25075716.990000002</v>
      </c>
      <c r="D36" s="15">
        <v>2200564.47</v>
      </c>
      <c r="E36" s="16">
        <v>1324</v>
      </c>
      <c r="F36" s="15">
        <v>237.43682239965474</v>
      </c>
    </row>
    <row r="37" spans="1:6" ht="12.75">
      <c r="A37" s="22">
        <v>38612</v>
      </c>
      <c r="B37" s="15">
        <v>26721957.15</v>
      </c>
      <c r="C37" s="15">
        <f t="shared" si="1"/>
        <v>24629483.09</v>
      </c>
      <c r="D37" s="15">
        <v>2092474.06</v>
      </c>
      <c r="E37" s="16">
        <v>1324</v>
      </c>
      <c r="F37" s="15">
        <v>225.7740677600345</v>
      </c>
    </row>
    <row r="38" spans="1:6" ht="12.75">
      <c r="A38" s="22">
        <v>38619</v>
      </c>
      <c r="B38" s="15">
        <v>26120593.209999997</v>
      </c>
      <c r="C38" s="15">
        <f t="shared" si="1"/>
        <v>24080320.759999998</v>
      </c>
      <c r="D38" s="15">
        <v>2040272.45</v>
      </c>
      <c r="E38" s="16">
        <v>1324</v>
      </c>
      <c r="F38" s="15">
        <v>220.14161091929222</v>
      </c>
    </row>
    <row r="39" spans="1:6" ht="12.75">
      <c r="A39" s="22">
        <v>38626</v>
      </c>
      <c r="B39" s="15">
        <v>25426628.089999996</v>
      </c>
      <c r="C39" s="15">
        <f t="shared" si="1"/>
        <v>23413283.059999995</v>
      </c>
      <c r="D39" s="15">
        <v>2013345.03</v>
      </c>
      <c r="E39" s="16">
        <v>1324</v>
      </c>
      <c r="F39" s="15">
        <v>217.23619227449288</v>
      </c>
    </row>
    <row r="40" spans="1:6" ht="12.75">
      <c r="A40" s="22">
        <v>38633</v>
      </c>
      <c r="B40" s="15">
        <v>25965421.659999996</v>
      </c>
      <c r="C40" s="15">
        <f t="shared" si="1"/>
        <v>23921793.299999997</v>
      </c>
      <c r="D40" s="15">
        <v>2043628.36</v>
      </c>
      <c r="E40" s="16">
        <v>1324</v>
      </c>
      <c r="F40" s="15">
        <v>220.50370738023307</v>
      </c>
    </row>
    <row r="41" spans="1:6" ht="12.75">
      <c r="A41" s="22">
        <v>38640</v>
      </c>
      <c r="B41" s="15">
        <v>26127303.57</v>
      </c>
      <c r="C41" s="15">
        <f t="shared" si="1"/>
        <v>24084099.240000002</v>
      </c>
      <c r="D41" s="15">
        <v>2043204.33</v>
      </c>
      <c r="E41" s="16">
        <v>1324</v>
      </c>
      <c r="F41" s="15">
        <v>220.45795533016832</v>
      </c>
    </row>
    <row r="42" spans="1:6" ht="12.75">
      <c r="A42" s="22">
        <v>38647</v>
      </c>
      <c r="B42" s="15">
        <v>25936027.15</v>
      </c>
      <c r="C42" s="15">
        <f t="shared" si="1"/>
        <v>23835704.15</v>
      </c>
      <c r="D42" s="15">
        <v>2100323</v>
      </c>
      <c r="E42" s="16">
        <v>1324</v>
      </c>
      <c r="F42" s="15">
        <v>226.6209538195943</v>
      </c>
    </row>
    <row r="43" spans="1:6" ht="12.75">
      <c r="A43" s="22">
        <v>38654</v>
      </c>
      <c r="B43" s="15">
        <v>24040229.6</v>
      </c>
      <c r="C43" s="15">
        <f t="shared" si="1"/>
        <v>22124507.62</v>
      </c>
      <c r="D43" s="15">
        <v>1915721.98</v>
      </c>
      <c r="E43" s="16">
        <v>1324</v>
      </c>
      <c r="F43" s="15">
        <v>206.7028463530427</v>
      </c>
    </row>
    <row r="44" spans="1:6" ht="12.75">
      <c r="A44" s="22">
        <v>38661</v>
      </c>
      <c r="B44" s="15">
        <v>27316323.889999997</v>
      </c>
      <c r="C44" s="15">
        <f t="shared" si="1"/>
        <v>25191680.679999996</v>
      </c>
      <c r="D44" s="15">
        <v>2124643.21</v>
      </c>
      <c r="E44" s="16">
        <v>1324</v>
      </c>
      <c r="F44" s="15">
        <v>229.24505934397928</v>
      </c>
    </row>
    <row r="45" spans="1:6" ht="12.75">
      <c r="A45" s="22">
        <v>38668</v>
      </c>
      <c r="B45" s="15">
        <v>26850231.88</v>
      </c>
      <c r="C45" s="15">
        <f t="shared" si="1"/>
        <v>24671392.849999998</v>
      </c>
      <c r="D45" s="15">
        <v>2178839.03</v>
      </c>
      <c r="E45" s="16">
        <v>1324</v>
      </c>
      <c r="F45" s="15">
        <v>235.0926877427708</v>
      </c>
    </row>
    <row r="46" spans="1:6" ht="12.75">
      <c r="A46" s="22">
        <v>38675</v>
      </c>
      <c r="B46" s="15">
        <v>25309535.19</v>
      </c>
      <c r="C46" s="15">
        <f t="shared" si="1"/>
        <v>23360903.16</v>
      </c>
      <c r="D46" s="15">
        <v>1948632.03</v>
      </c>
      <c r="E46" s="16">
        <v>1324</v>
      </c>
      <c r="F46" s="15">
        <v>210.25377967198963</v>
      </c>
    </row>
    <row r="47" spans="1:6" ht="12.75">
      <c r="A47" s="22">
        <v>38682</v>
      </c>
      <c r="B47" s="15">
        <v>21911390.11</v>
      </c>
      <c r="C47" s="15">
        <f t="shared" si="1"/>
        <v>20174290.349999998</v>
      </c>
      <c r="D47" s="15">
        <v>1737099.76</v>
      </c>
      <c r="E47" s="16">
        <v>1324</v>
      </c>
      <c r="F47" s="15">
        <v>187.42984031074664</v>
      </c>
    </row>
    <row r="48" spans="1:6" ht="12.75">
      <c r="A48" s="22">
        <v>38689</v>
      </c>
      <c r="B48" s="15">
        <v>22095924.94</v>
      </c>
      <c r="C48" s="15">
        <f t="shared" si="1"/>
        <v>20287363.630000003</v>
      </c>
      <c r="D48" s="15">
        <v>1808561.31</v>
      </c>
      <c r="E48" s="16">
        <v>1324</v>
      </c>
      <c r="F48" s="15">
        <v>195.14040893396634</v>
      </c>
    </row>
    <row r="49" spans="1:6" ht="12.75">
      <c r="A49" s="22">
        <v>38696</v>
      </c>
      <c r="B49" s="15">
        <v>20728129.990000002</v>
      </c>
      <c r="C49" s="15">
        <f t="shared" si="1"/>
        <v>19064452.39</v>
      </c>
      <c r="D49" s="15">
        <v>1663677.6</v>
      </c>
      <c r="E49" s="16">
        <v>1324</v>
      </c>
      <c r="F49" s="15">
        <v>179.50772550712128</v>
      </c>
    </row>
    <row r="50" spans="1:6" ht="12.75">
      <c r="A50" s="22">
        <v>38703</v>
      </c>
      <c r="B50" s="15">
        <v>19264382.13</v>
      </c>
      <c r="C50" s="15">
        <f t="shared" si="1"/>
        <v>17716650.84</v>
      </c>
      <c r="D50" s="15">
        <v>1547731.29</v>
      </c>
      <c r="E50" s="16">
        <v>1324</v>
      </c>
      <c r="F50" s="15">
        <v>166.99733383685802</v>
      </c>
    </row>
    <row r="51" spans="1:6" ht="12.75">
      <c r="A51" s="22">
        <v>38710</v>
      </c>
      <c r="B51" s="15">
        <v>19300135.619999997</v>
      </c>
      <c r="C51" s="15">
        <f t="shared" si="1"/>
        <v>17774011.15</v>
      </c>
      <c r="D51" s="15">
        <v>1526124.47</v>
      </c>
      <c r="E51" s="16">
        <v>1324</v>
      </c>
      <c r="F51" s="15">
        <v>164.66599805783338</v>
      </c>
    </row>
    <row r="52" spans="1:6" ht="12.75">
      <c r="A52" s="22">
        <v>38717</v>
      </c>
      <c r="B52" s="15">
        <v>31019674.089999996</v>
      </c>
      <c r="C52" s="15">
        <f t="shared" si="1"/>
        <v>28576188.989999995</v>
      </c>
      <c r="D52" s="15">
        <v>2443485.1</v>
      </c>
      <c r="E52" s="16">
        <v>1324</v>
      </c>
      <c r="F52" s="15">
        <v>263.6475075528701</v>
      </c>
    </row>
    <row r="53" spans="1:6" ht="12.75">
      <c r="A53" s="22">
        <v>38724</v>
      </c>
      <c r="B53" s="15">
        <v>25315435.810000002</v>
      </c>
      <c r="C53" s="15">
        <f t="shared" si="1"/>
        <v>23275249.230000004</v>
      </c>
      <c r="D53" s="15">
        <v>2040186.58</v>
      </c>
      <c r="E53" s="16">
        <v>1324</v>
      </c>
      <c r="F53" s="15">
        <v>220.13234570565388</v>
      </c>
    </row>
    <row r="54" spans="1:6" ht="12.75">
      <c r="A54" s="22">
        <v>38731</v>
      </c>
      <c r="B54" s="15">
        <v>26001849.92</v>
      </c>
      <c r="C54" s="15">
        <f t="shared" si="1"/>
        <v>23928388.94</v>
      </c>
      <c r="D54" s="15">
        <v>2073460.98</v>
      </c>
      <c r="E54" s="16">
        <v>1324</v>
      </c>
      <c r="F54" s="15">
        <v>223.72259171342253</v>
      </c>
    </row>
    <row r="55" spans="1:6" ht="12.75">
      <c r="A55" s="22">
        <v>38738</v>
      </c>
      <c r="B55" s="15">
        <v>25814119.229999997</v>
      </c>
      <c r="C55" s="15">
        <f t="shared" si="1"/>
        <v>23743783.819999997</v>
      </c>
      <c r="D55" s="15">
        <v>2070335.41</v>
      </c>
      <c r="E55" s="16">
        <v>1324</v>
      </c>
      <c r="F55" s="15">
        <v>223.38534851100562</v>
      </c>
    </row>
    <row r="56" spans="1:6" ht="12.75">
      <c r="A56" s="22">
        <v>38745</v>
      </c>
      <c r="B56" s="15">
        <v>26209128.82</v>
      </c>
      <c r="C56" s="15">
        <f t="shared" si="1"/>
        <v>24124547.57</v>
      </c>
      <c r="D56" s="15">
        <v>2084581.25</v>
      </c>
      <c r="E56" s="16">
        <v>1324</v>
      </c>
      <c r="F56" s="15">
        <v>224.92244820889084</v>
      </c>
    </row>
    <row r="57" spans="1:6" ht="12.75">
      <c r="A57" s="22">
        <v>38752</v>
      </c>
      <c r="B57" s="15">
        <v>30533495.14</v>
      </c>
      <c r="C57" s="15">
        <f t="shared" si="1"/>
        <v>28130820.560000002</v>
      </c>
      <c r="D57" s="15">
        <v>2402674.58</v>
      </c>
      <c r="E57" s="16">
        <v>1324</v>
      </c>
      <c r="F57" s="15">
        <v>259.24412818299527</v>
      </c>
    </row>
    <row r="58" spans="1:6" ht="12.75">
      <c r="A58" s="22">
        <v>38759</v>
      </c>
      <c r="B58" s="15">
        <v>28046491.52</v>
      </c>
      <c r="C58" s="15">
        <f t="shared" si="1"/>
        <v>25857796.09</v>
      </c>
      <c r="D58" s="15">
        <v>2188695.43</v>
      </c>
      <c r="E58" s="16">
        <v>1324</v>
      </c>
      <c r="F58" s="15">
        <v>236.15617501078984</v>
      </c>
    </row>
    <row r="59" spans="1:6" ht="12.75">
      <c r="A59" s="22">
        <v>38766</v>
      </c>
      <c r="B59" s="15">
        <v>22066196.290000003</v>
      </c>
      <c r="C59" s="15">
        <f t="shared" si="1"/>
        <v>20370417.930000003</v>
      </c>
      <c r="D59" s="15">
        <v>1695778.36</v>
      </c>
      <c r="E59" s="16">
        <v>1324</v>
      </c>
      <c r="F59" s="15">
        <v>182.97133793698748</v>
      </c>
    </row>
    <row r="60" spans="1:6" ht="12.75">
      <c r="A60" s="22">
        <v>38773</v>
      </c>
      <c r="B60" s="15">
        <v>30395970.57</v>
      </c>
      <c r="C60" s="15">
        <f t="shared" si="1"/>
        <v>28038086.8</v>
      </c>
      <c r="D60" s="15">
        <v>2357883.77</v>
      </c>
      <c r="E60" s="16">
        <v>1324</v>
      </c>
      <c r="F60" s="15">
        <v>254.41128290893397</v>
      </c>
    </row>
    <row r="61" spans="1:6" ht="12.75">
      <c r="A61" s="22">
        <v>38780</v>
      </c>
      <c r="B61" s="15">
        <v>30539693.740000002</v>
      </c>
      <c r="C61" s="15">
        <f t="shared" si="1"/>
        <v>27975894.580000002</v>
      </c>
      <c r="D61" s="15">
        <v>2563799.16</v>
      </c>
      <c r="E61" s="16">
        <v>1324</v>
      </c>
      <c r="F61" s="15">
        <v>276.6291713422529</v>
      </c>
    </row>
    <row r="62" spans="1:6" ht="12.75">
      <c r="A62" s="22">
        <v>38787</v>
      </c>
      <c r="B62" s="15">
        <v>28812873.79</v>
      </c>
      <c r="C62" s="15">
        <f t="shared" si="1"/>
        <v>26443318.74</v>
      </c>
      <c r="D62" s="15">
        <v>2369555.05</v>
      </c>
      <c r="E62" s="16">
        <v>1324</v>
      </c>
      <c r="F62" s="15">
        <v>255.6705923608114</v>
      </c>
    </row>
    <row r="63" spans="1:6" ht="12.75">
      <c r="A63" s="22">
        <v>38794</v>
      </c>
      <c r="B63" s="15">
        <v>27279176.669999998</v>
      </c>
      <c r="C63" s="15">
        <f t="shared" si="1"/>
        <v>24990072.349999998</v>
      </c>
      <c r="D63" s="15">
        <v>2289104.32</v>
      </c>
      <c r="E63" s="16">
        <v>1324</v>
      </c>
      <c r="F63" s="15">
        <v>246.99010789814417</v>
      </c>
    </row>
    <row r="64" spans="1:6" ht="12.75">
      <c r="A64" s="22">
        <v>38801</v>
      </c>
      <c r="B64" s="15">
        <v>28330060.259999998</v>
      </c>
      <c r="C64" s="15">
        <f t="shared" si="1"/>
        <v>26011122.159999996</v>
      </c>
      <c r="D64" s="15">
        <v>2318938.1</v>
      </c>
      <c r="E64" s="16">
        <v>1324</v>
      </c>
      <c r="F64" s="15">
        <v>250.20911739318086</v>
      </c>
    </row>
    <row r="65" spans="1:6" ht="12.75">
      <c r="A65" s="22">
        <v>38808</v>
      </c>
      <c r="B65" s="15">
        <v>29787844.47</v>
      </c>
      <c r="C65" s="15">
        <f t="shared" si="1"/>
        <v>27445872.74</v>
      </c>
      <c r="D65" s="15">
        <v>2341971.73</v>
      </c>
      <c r="E65" s="16">
        <v>1324</v>
      </c>
      <c r="F65" s="15">
        <v>252.69440332326283</v>
      </c>
    </row>
    <row r="67" spans="1:6" ht="13.5" thickBot="1">
      <c r="A67" s="22" t="s">
        <v>8</v>
      </c>
      <c r="B67" s="17">
        <f>SUM(B13:B65)</f>
        <v>1396723171.8600004</v>
      </c>
      <c r="C67" s="17">
        <f>SUM(C13:C65)</f>
        <v>1286040101.36</v>
      </c>
      <c r="D67" s="17">
        <f>SUM(D13:D65)</f>
        <v>110683070.49999999</v>
      </c>
      <c r="E67" s="24">
        <f>SUM(E13:E65)/COUNT(E13:E65)</f>
        <v>1324</v>
      </c>
      <c r="F67" s="17">
        <f>+D67/SUM(E13:E65)/7</f>
        <v>225.33014898087146</v>
      </c>
    </row>
    <row r="68" spans="1:4" s="21" customFormat="1" ht="13.5" thickTop="1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59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ht="18">
      <c r="A1" s="37" t="s">
        <v>16</v>
      </c>
      <c r="B1" s="37"/>
      <c r="C1" s="37"/>
      <c r="D1" s="37"/>
      <c r="E1" s="37"/>
      <c r="F1" s="37"/>
      <c r="G1" s="26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27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27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28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29"/>
      <c r="H5" s="29"/>
      <c r="I5" s="29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1" t="s">
        <v>22</v>
      </c>
      <c r="B8" s="42"/>
      <c r="C8" s="42"/>
      <c r="D8" s="42"/>
      <c r="E8" s="42"/>
      <c r="F8" s="43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38080</v>
      </c>
      <c r="B13" s="15">
        <v>19268378.18</v>
      </c>
      <c r="C13" s="15">
        <f aca="true" t="shared" si="0" ref="C13:C64">+B13-D13</f>
        <v>17848983.41</v>
      </c>
      <c r="D13" s="15">
        <v>1419394.77</v>
      </c>
      <c r="E13" s="16">
        <v>1324</v>
      </c>
      <c r="F13" s="15">
        <v>153.15006150194216</v>
      </c>
    </row>
    <row r="14" spans="1:6" ht="12.75">
      <c r="A14" s="22">
        <v>38087</v>
      </c>
      <c r="B14" s="15">
        <v>19195530.19</v>
      </c>
      <c r="C14" s="15">
        <f t="shared" si="0"/>
        <v>17718228.380000003</v>
      </c>
      <c r="D14" s="15">
        <v>1477301.81</v>
      </c>
      <c r="E14" s="16">
        <v>1324</v>
      </c>
      <c r="F14" s="15">
        <v>159.39812365127324</v>
      </c>
    </row>
    <row r="15" spans="1:6" ht="12.75">
      <c r="A15" s="22">
        <v>38094</v>
      </c>
      <c r="B15" s="15">
        <v>19704270.440000005</v>
      </c>
      <c r="C15" s="15">
        <f t="shared" si="0"/>
        <v>18180113.030000005</v>
      </c>
      <c r="D15" s="15">
        <v>1524157.41</v>
      </c>
      <c r="E15" s="16">
        <v>1324</v>
      </c>
      <c r="F15" s="15">
        <v>164.45375593439795</v>
      </c>
    </row>
    <row r="16" spans="1:6" ht="12.75">
      <c r="A16" s="22">
        <v>38101</v>
      </c>
      <c r="B16" s="15">
        <v>20222297.81</v>
      </c>
      <c r="C16" s="15">
        <f t="shared" si="0"/>
        <v>18731521.759999998</v>
      </c>
      <c r="D16" s="15">
        <v>1490776.05</v>
      </c>
      <c r="E16" s="16">
        <v>1324</v>
      </c>
      <c r="F16" s="15">
        <v>160.85196914113078</v>
      </c>
    </row>
    <row r="17" spans="1:6" ht="12.75">
      <c r="A17" s="22">
        <v>38108</v>
      </c>
      <c r="B17" s="15">
        <v>19286660.509999998</v>
      </c>
      <c r="C17" s="15">
        <f t="shared" si="0"/>
        <v>17804531.209999997</v>
      </c>
      <c r="D17" s="15">
        <v>1482129.3</v>
      </c>
      <c r="E17" s="16">
        <v>1324</v>
      </c>
      <c r="F17" s="15">
        <v>159.91900086318515</v>
      </c>
    </row>
    <row r="18" spans="1:6" ht="12.75">
      <c r="A18" s="22">
        <v>38115</v>
      </c>
      <c r="B18" s="15">
        <v>20603681.2</v>
      </c>
      <c r="C18" s="15">
        <f t="shared" si="0"/>
        <v>18960363.189999998</v>
      </c>
      <c r="D18" s="15">
        <v>1643318.01</v>
      </c>
      <c r="E18" s="16">
        <v>1324</v>
      </c>
      <c r="F18" s="15">
        <v>177.31096353042727</v>
      </c>
    </row>
    <row r="19" spans="1:6" ht="12.75">
      <c r="A19" s="22">
        <v>38122</v>
      </c>
      <c r="B19" s="15">
        <v>19542973.35</v>
      </c>
      <c r="C19" s="15">
        <f t="shared" si="0"/>
        <v>18047158.3</v>
      </c>
      <c r="D19" s="15">
        <v>1495815.05</v>
      </c>
      <c r="E19" s="16">
        <v>1324</v>
      </c>
      <c r="F19" s="15">
        <v>161.3956678895123</v>
      </c>
    </row>
    <row r="20" spans="1:6" ht="12.75">
      <c r="A20" s="22">
        <v>38129</v>
      </c>
      <c r="B20" s="15">
        <v>18920906.740000002</v>
      </c>
      <c r="C20" s="15">
        <f t="shared" si="0"/>
        <v>17443239.35</v>
      </c>
      <c r="D20" s="15">
        <v>1477667.39</v>
      </c>
      <c r="E20" s="16">
        <v>1324</v>
      </c>
      <c r="F20" s="15">
        <v>159.43756905481226</v>
      </c>
    </row>
    <row r="21" spans="1:6" ht="12.75">
      <c r="A21" s="22">
        <v>38136</v>
      </c>
      <c r="B21" s="15">
        <v>20140742.740000002</v>
      </c>
      <c r="C21" s="15">
        <f t="shared" si="0"/>
        <v>18542155.8</v>
      </c>
      <c r="D21" s="15">
        <v>1598586.94</v>
      </c>
      <c r="E21" s="16">
        <v>1324</v>
      </c>
      <c r="F21" s="15">
        <v>172.48456409149762</v>
      </c>
    </row>
    <row r="22" spans="1:6" ht="12.75">
      <c r="A22" s="22">
        <v>38143</v>
      </c>
      <c r="B22" s="15">
        <v>22787208.55</v>
      </c>
      <c r="C22" s="15">
        <f t="shared" si="0"/>
        <v>20955547.75</v>
      </c>
      <c r="D22" s="15">
        <v>1831660.8</v>
      </c>
      <c r="E22" s="16">
        <v>1324</v>
      </c>
      <c r="F22" s="15">
        <v>197.63280103582218</v>
      </c>
    </row>
    <row r="23" spans="1:6" ht="12.75">
      <c r="A23" s="22">
        <v>38150</v>
      </c>
      <c r="B23" s="15">
        <v>20222850.2</v>
      </c>
      <c r="C23" s="15">
        <f t="shared" si="0"/>
        <v>18700186.869999997</v>
      </c>
      <c r="D23" s="15">
        <v>1522663.33</v>
      </c>
      <c r="E23" s="16">
        <v>1324</v>
      </c>
      <c r="F23" s="15">
        <v>164.29254747518343</v>
      </c>
    </row>
    <row r="24" spans="1:6" ht="12.75">
      <c r="A24" s="22">
        <v>38157</v>
      </c>
      <c r="B24" s="15">
        <v>19915623.36</v>
      </c>
      <c r="C24" s="15">
        <f t="shared" si="0"/>
        <v>18285422.52</v>
      </c>
      <c r="D24" s="15">
        <v>1630200.84</v>
      </c>
      <c r="E24" s="16">
        <v>1324</v>
      </c>
      <c r="F24" s="15">
        <v>175.89564523090203</v>
      </c>
    </row>
    <row r="25" spans="1:6" ht="12.75">
      <c r="A25" s="22">
        <v>38164</v>
      </c>
      <c r="B25" s="15">
        <v>20068848.869999997</v>
      </c>
      <c r="C25" s="15">
        <f t="shared" si="0"/>
        <v>18366492.38</v>
      </c>
      <c r="D25" s="15">
        <v>1702356.49</v>
      </c>
      <c r="E25" s="16">
        <v>1324</v>
      </c>
      <c r="F25" s="15">
        <v>183.68110595597756</v>
      </c>
    </row>
    <row r="26" spans="1:6" ht="12.75">
      <c r="A26" s="22">
        <v>38171</v>
      </c>
      <c r="B26" s="15">
        <v>21655616.53</v>
      </c>
      <c r="C26" s="15">
        <f t="shared" si="0"/>
        <v>19903309.3</v>
      </c>
      <c r="D26" s="15">
        <v>1752307.23</v>
      </c>
      <c r="E26" s="16">
        <v>1324</v>
      </c>
      <c r="F26" s="15">
        <v>189.07069810099267</v>
      </c>
    </row>
    <row r="27" spans="1:6" ht="12.75">
      <c r="A27" s="22">
        <v>38178</v>
      </c>
      <c r="B27" s="15">
        <v>22063411.38</v>
      </c>
      <c r="C27" s="15">
        <f t="shared" si="0"/>
        <v>20239323.93</v>
      </c>
      <c r="D27" s="15">
        <v>1824087.45</v>
      </c>
      <c r="E27" s="16">
        <v>1324</v>
      </c>
      <c r="F27" s="15">
        <v>196.81565062580927</v>
      </c>
    </row>
    <row r="28" spans="1:6" ht="12.75">
      <c r="A28" s="22">
        <v>38185</v>
      </c>
      <c r="B28" s="15">
        <v>21687138.35</v>
      </c>
      <c r="C28" s="15">
        <f t="shared" si="0"/>
        <v>19891943.560000002</v>
      </c>
      <c r="D28" s="15">
        <v>1795194.79</v>
      </c>
      <c r="E28" s="16">
        <v>1324</v>
      </c>
      <c r="F28" s="15">
        <v>193.69818623219686</v>
      </c>
    </row>
    <row r="29" spans="1:6" ht="12.75">
      <c r="A29" s="22">
        <v>38192</v>
      </c>
      <c r="B29" s="15">
        <v>21277591.09</v>
      </c>
      <c r="C29" s="15">
        <f t="shared" si="0"/>
        <v>19594262.9</v>
      </c>
      <c r="D29" s="15">
        <v>1683328.19</v>
      </c>
      <c r="E29" s="16">
        <v>1324</v>
      </c>
      <c r="F29" s="15">
        <v>181.62798769961157</v>
      </c>
    </row>
    <row r="30" spans="1:6" ht="12.75">
      <c r="A30" s="22">
        <v>38199</v>
      </c>
      <c r="B30" s="15">
        <v>21132747.540000003</v>
      </c>
      <c r="C30" s="15">
        <f t="shared" si="0"/>
        <v>19396426.680000003</v>
      </c>
      <c r="D30" s="15">
        <v>1736320.86</v>
      </c>
      <c r="E30" s="16">
        <v>1324</v>
      </c>
      <c r="F30" s="15">
        <v>187.3457984462667</v>
      </c>
    </row>
    <row r="31" spans="1:6" ht="12.75">
      <c r="A31" s="22">
        <v>38206</v>
      </c>
      <c r="B31" s="15">
        <v>22322520.27</v>
      </c>
      <c r="C31" s="15">
        <f t="shared" si="0"/>
        <v>20467205.3</v>
      </c>
      <c r="D31" s="15">
        <v>1855314.97</v>
      </c>
      <c r="E31" s="16">
        <v>1324</v>
      </c>
      <c r="F31" s="15">
        <v>200.18504208027625</v>
      </c>
    </row>
    <row r="32" spans="1:6" ht="12.75">
      <c r="A32" s="22">
        <v>38213</v>
      </c>
      <c r="B32" s="15">
        <v>23699207.59</v>
      </c>
      <c r="C32" s="15">
        <f t="shared" si="0"/>
        <v>21768958.06</v>
      </c>
      <c r="D32" s="15">
        <v>1930249.53</v>
      </c>
      <c r="E32" s="16">
        <v>1324</v>
      </c>
      <c r="F32" s="15">
        <v>208.27034203711693</v>
      </c>
    </row>
    <row r="33" spans="1:6" ht="12.75">
      <c r="A33" s="22">
        <v>38220</v>
      </c>
      <c r="B33" s="15">
        <v>25771607.439999998</v>
      </c>
      <c r="C33" s="15">
        <f t="shared" si="0"/>
        <v>23714979.769999996</v>
      </c>
      <c r="D33" s="15">
        <v>2056627.67</v>
      </c>
      <c r="E33" s="16">
        <v>1324</v>
      </c>
      <c r="F33" s="15">
        <v>221.9063088044886</v>
      </c>
    </row>
    <row r="34" spans="1:6" ht="12.75">
      <c r="A34" s="22">
        <v>38227</v>
      </c>
      <c r="B34" s="15">
        <v>23642562.660000004</v>
      </c>
      <c r="C34" s="15">
        <f t="shared" si="0"/>
        <v>21765460.430000003</v>
      </c>
      <c r="D34" s="15">
        <v>1877102.23</v>
      </c>
      <c r="E34" s="16">
        <v>1324</v>
      </c>
      <c r="F34" s="15">
        <v>202.5358470004316</v>
      </c>
    </row>
    <row r="35" spans="1:6" ht="12.75">
      <c r="A35" s="22">
        <v>38234</v>
      </c>
      <c r="B35" s="15">
        <v>22425126.98</v>
      </c>
      <c r="C35" s="15">
        <f t="shared" si="0"/>
        <v>20618290.39</v>
      </c>
      <c r="D35" s="15">
        <v>1806836.59</v>
      </c>
      <c r="E35" s="16">
        <v>1324</v>
      </c>
      <c r="F35" s="15">
        <v>194.95431484678463</v>
      </c>
    </row>
    <row r="36" spans="1:6" ht="12.75">
      <c r="A36" s="22">
        <v>38241</v>
      </c>
      <c r="B36" s="15">
        <v>23900876.28</v>
      </c>
      <c r="C36" s="15">
        <f t="shared" si="0"/>
        <v>22039740.060000002</v>
      </c>
      <c r="D36" s="15">
        <v>1861136.22</v>
      </c>
      <c r="E36" s="16">
        <v>1324</v>
      </c>
      <c r="F36" s="15">
        <v>200.81314415192057</v>
      </c>
    </row>
    <row r="37" spans="1:6" ht="12.75">
      <c r="A37" s="22">
        <v>38248</v>
      </c>
      <c r="B37" s="15">
        <v>22280045.32</v>
      </c>
      <c r="C37" s="15">
        <f t="shared" si="0"/>
        <v>20563979.68</v>
      </c>
      <c r="D37" s="15">
        <v>1716065.64</v>
      </c>
      <c r="E37" s="16">
        <v>1324</v>
      </c>
      <c r="F37" s="15">
        <v>185.16029779887785</v>
      </c>
    </row>
    <row r="38" spans="1:6" ht="12.75">
      <c r="A38" s="22">
        <v>38255</v>
      </c>
      <c r="B38" s="15">
        <v>20665765.58</v>
      </c>
      <c r="C38" s="15">
        <f t="shared" si="0"/>
        <v>19012134.549999997</v>
      </c>
      <c r="D38" s="15">
        <v>1653631.03</v>
      </c>
      <c r="E38" s="16">
        <v>1324</v>
      </c>
      <c r="F38" s="15">
        <v>178.42371924902892</v>
      </c>
    </row>
    <row r="39" spans="1:6" ht="12.75">
      <c r="A39" s="22">
        <v>38262</v>
      </c>
      <c r="B39" s="15">
        <v>22570374.76</v>
      </c>
      <c r="C39" s="15">
        <f t="shared" si="0"/>
        <v>20779171.87</v>
      </c>
      <c r="D39" s="15">
        <v>1791202.89</v>
      </c>
      <c r="E39" s="16">
        <v>1324</v>
      </c>
      <c r="F39" s="15">
        <v>193.26746763055675</v>
      </c>
    </row>
    <row r="40" spans="1:6" ht="12.75">
      <c r="A40" s="22">
        <v>38269</v>
      </c>
      <c r="B40" s="15">
        <v>19749687.150000002</v>
      </c>
      <c r="C40" s="15">
        <f t="shared" si="0"/>
        <v>18122940.94</v>
      </c>
      <c r="D40" s="15">
        <v>1626746.21</v>
      </c>
      <c r="E40" s="16">
        <v>1324</v>
      </c>
      <c r="F40" s="15">
        <v>175.52289706517047</v>
      </c>
    </row>
    <row r="41" spans="1:6" ht="12.75">
      <c r="A41" s="22">
        <v>38276</v>
      </c>
      <c r="B41" s="15">
        <v>21303979.72</v>
      </c>
      <c r="C41" s="15">
        <f t="shared" si="0"/>
        <v>19548160.009999998</v>
      </c>
      <c r="D41" s="15">
        <v>1755819.71</v>
      </c>
      <c r="E41" s="16">
        <v>1324</v>
      </c>
      <c r="F41" s="15">
        <v>189.4496881743634</v>
      </c>
    </row>
    <row r="42" spans="1:6" ht="12.75">
      <c r="A42" s="22">
        <v>38283</v>
      </c>
      <c r="B42" s="15">
        <v>20374072</v>
      </c>
      <c r="C42" s="15">
        <f t="shared" si="0"/>
        <v>18741276.45</v>
      </c>
      <c r="D42" s="15">
        <v>1632795.55</v>
      </c>
      <c r="E42" s="16">
        <v>1324</v>
      </c>
      <c r="F42" s="15">
        <v>176.17560962451444</v>
      </c>
    </row>
    <row r="43" spans="1:6" ht="12.75">
      <c r="A43" s="22">
        <v>38290</v>
      </c>
      <c r="B43" s="15">
        <v>20688460.57</v>
      </c>
      <c r="C43" s="15">
        <f t="shared" si="0"/>
        <v>19051332.32</v>
      </c>
      <c r="D43" s="15">
        <v>1637128.25</v>
      </c>
      <c r="E43" s="16">
        <v>1324</v>
      </c>
      <c r="F43" s="15">
        <v>176.64309991368148</v>
      </c>
    </row>
    <row r="44" spans="1:6" ht="12.75">
      <c r="A44" s="22">
        <v>38297</v>
      </c>
      <c r="B44" s="15">
        <v>20764788.55</v>
      </c>
      <c r="C44" s="15">
        <f t="shared" si="0"/>
        <v>19093800.51</v>
      </c>
      <c r="D44" s="15">
        <v>1670988.04</v>
      </c>
      <c r="E44" s="16">
        <v>1324</v>
      </c>
      <c r="F44" s="15">
        <v>180.29650841605525</v>
      </c>
    </row>
    <row r="45" spans="1:6" ht="12.75">
      <c r="A45" s="22">
        <v>38304</v>
      </c>
      <c r="B45" s="15">
        <v>19838342.32</v>
      </c>
      <c r="C45" s="15">
        <f t="shared" si="0"/>
        <v>18289460.31</v>
      </c>
      <c r="D45" s="15">
        <v>1548882.01</v>
      </c>
      <c r="E45" s="16">
        <v>1324</v>
      </c>
      <c r="F45" s="15">
        <v>167.12149438929652</v>
      </c>
    </row>
    <row r="46" spans="1:6" ht="12.75">
      <c r="A46" s="22">
        <v>38311</v>
      </c>
      <c r="B46" s="15">
        <v>18794357.99</v>
      </c>
      <c r="C46" s="15">
        <f t="shared" si="0"/>
        <v>17297241.25</v>
      </c>
      <c r="D46" s="15">
        <v>1497116.74</v>
      </c>
      <c r="E46" s="16">
        <v>1324</v>
      </c>
      <c r="F46" s="15">
        <v>161.5361178247734</v>
      </c>
    </row>
    <row r="47" spans="1:6" ht="12.75">
      <c r="A47" s="22">
        <v>38318</v>
      </c>
      <c r="B47" s="15">
        <v>20644696.84</v>
      </c>
      <c r="C47" s="15">
        <f t="shared" si="0"/>
        <v>19211496.28</v>
      </c>
      <c r="D47" s="15">
        <v>1433200.56</v>
      </c>
      <c r="E47" s="16">
        <v>1324</v>
      </c>
      <c r="F47" s="15">
        <v>154.6396806214933</v>
      </c>
    </row>
    <row r="48" spans="1:6" ht="12.75">
      <c r="A48" s="22">
        <v>38325</v>
      </c>
      <c r="B48" s="15">
        <v>18591626.330000002</v>
      </c>
      <c r="C48" s="15">
        <f t="shared" si="0"/>
        <v>17074869.020000003</v>
      </c>
      <c r="D48" s="15">
        <v>1516757.31</v>
      </c>
      <c r="E48" s="16">
        <v>1324</v>
      </c>
      <c r="F48" s="15">
        <v>163.6552988778593</v>
      </c>
    </row>
    <row r="49" spans="1:6" ht="12.75">
      <c r="A49" s="22">
        <v>38332</v>
      </c>
      <c r="B49" s="15">
        <v>17165136.1</v>
      </c>
      <c r="C49" s="15">
        <f t="shared" si="0"/>
        <v>15904327.14</v>
      </c>
      <c r="D49" s="15">
        <v>1260808.96</v>
      </c>
      <c r="E49" s="16">
        <v>1324</v>
      </c>
      <c r="F49" s="15">
        <v>136.03894691411307</v>
      </c>
    </row>
    <row r="50" spans="1:6" ht="12.75">
      <c r="A50" s="22">
        <v>38339</v>
      </c>
      <c r="B50" s="15">
        <v>17618732.71</v>
      </c>
      <c r="C50" s="15">
        <f t="shared" si="0"/>
        <v>16198511.510000002</v>
      </c>
      <c r="D50" s="15">
        <v>1420221.2</v>
      </c>
      <c r="E50" s="16">
        <v>1324</v>
      </c>
      <c r="F50" s="15">
        <v>153.23923176521365</v>
      </c>
    </row>
    <row r="51" spans="1:6" ht="12.75">
      <c r="A51" s="22">
        <v>38346</v>
      </c>
      <c r="B51" s="15">
        <v>13832108.04</v>
      </c>
      <c r="C51" s="15">
        <f t="shared" si="0"/>
        <v>12730540.44</v>
      </c>
      <c r="D51" s="15">
        <v>1101567.6</v>
      </c>
      <c r="E51" s="16">
        <v>1324</v>
      </c>
      <c r="F51" s="15">
        <v>118.85709969788518</v>
      </c>
    </row>
    <row r="52" spans="1:6" ht="12.75">
      <c r="A52" s="22">
        <v>38353</v>
      </c>
      <c r="B52" s="15">
        <v>26972243.59</v>
      </c>
      <c r="C52" s="15">
        <f t="shared" si="0"/>
        <v>24895928.54</v>
      </c>
      <c r="D52" s="15">
        <v>2076315.05</v>
      </c>
      <c r="E52" s="16">
        <v>1324</v>
      </c>
      <c r="F52" s="15">
        <v>224.03054056970217</v>
      </c>
    </row>
    <row r="53" spans="1:6" ht="12.75">
      <c r="A53" s="22">
        <v>38360</v>
      </c>
      <c r="B53" s="15">
        <v>15437569.360000001</v>
      </c>
      <c r="C53" s="15">
        <f t="shared" si="0"/>
        <v>14176912.520000001</v>
      </c>
      <c r="D53" s="15">
        <v>1260656.84</v>
      </c>
      <c r="E53" s="16">
        <v>1324</v>
      </c>
      <c r="F53" s="15">
        <v>136.02253344842467</v>
      </c>
    </row>
    <row r="54" spans="1:6" ht="12.75">
      <c r="A54" s="22">
        <v>38367</v>
      </c>
      <c r="B54" s="15">
        <v>20341724.74</v>
      </c>
      <c r="C54" s="15">
        <f t="shared" si="0"/>
        <v>18692451.77</v>
      </c>
      <c r="D54" s="15">
        <v>1649272.97</v>
      </c>
      <c r="E54" s="16">
        <v>1324</v>
      </c>
      <c r="F54" s="15">
        <v>177.95349266292618</v>
      </c>
    </row>
    <row r="55" spans="1:6" ht="12.75">
      <c r="A55" s="22">
        <v>38374</v>
      </c>
      <c r="B55" s="15">
        <v>17525807.34</v>
      </c>
      <c r="C55" s="15">
        <f t="shared" si="0"/>
        <v>16145901.56</v>
      </c>
      <c r="D55" s="15">
        <v>1379905.78</v>
      </c>
      <c r="E55" s="16">
        <v>1324</v>
      </c>
      <c r="F55" s="15">
        <v>148.88927276650838</v>
      </c>
    </row>
    <row r="56" spans="1:6" ht="12.75">
      <c r="A56" s="22">
        <v>38381</v>
      </c>
      <c r="B56" s="15">
        <v>20061811.700000003</v>
      </c>
      <c r="C56" s="15">
        <f t="shared" si="0"/>
        <v>18449552.650000002</v>
      </c>
      <c r="D56" s="15">
        <v>1612259.05</v>
      </c>
      <c r="E56" s="16">
        <v>1324</v>
      </c>
      <c r="F56" s="15">
        <v>173.95975938713852</v>
      </c>
    </row>
    <row r="57" spans="1:6" ht="12.75">
      <c r="A57" s="22">
        <v>38388</v>
      </c>
      <c r="B57" s="15">
        <v>26228733.15</v>
      </c>
      <c r="C57" s="15">
        <f t="shared" si="0"/>
        <v>24063846.56</v>
      </c>
      <c r="D57" s="15">
        <v>2164886.59</v>
      </c>
      <c r="E57" s="16">
        <v>1324</v>
      </c>
      <c r="F57" s="15">
        <v>233.5872453603798</v>
      </c>
    </row>
    <row r="58" spans="1:6" ht="12.75">
      <c r="A58" s="22">
        <v>38395</v>
      </c>
      <c r="B58" s="15">
        <v>21692684.26</v>
      </c>
      <c r="C58" s="15">
        <f t="shared" si="0"/>
        <v>20037434.650000002</v>
      </c>
      <c r="D58" s="15">
        <v>1655249.61</v>
      </c>
      <c r="E58" s="16">
        <v>1324</v>
      </c>
      <c r="F58" s="15">
        <v>178.59836102719035</v>
      </c>
    </row>
    <row r="59" spans="1:6" ht="12.75">
      <c r="A59" s="22">
        <v>38402</v>
      </c>
      <c r="B59" s="15">
        <v>24034109.939999998</v>
      </c>
      <c r="C59" s="15">
        <f t="shared" si="0"/>
        <v>22130286.769999996</v>
      </c>
      <c r="D59" s="15">
        <v>1903823.17</v>
      </c>
      <c r="E59" s="16">
        <v>1324</v>
      </c>
      <c r="F59" s="15">
        <v>205.4189868364264</v>
      </c>
    </row>
    <row r="60" spans="1:6" ht="12.75">
      <c r="A60" s="22">
        <v>38409</v>
      </c>
      <c r="B60" s="15">
        <v>24412531.95</v>
      </c>
      <c r="C60" s="15">
        <f t="shared" si="0"/>
        <v>22511161.63</v>
      </c>
      <c r="D60" s="15">
        <v>1901370.32</v>
      </c>
      <c r="E60" s="16">
        <v>1324</v>
      </c>
      <c r="F60" s="15">
        <v>205.15432887354336</v>
      </c>
    </row>
    <row r="61" spans="1:6" ht="12.75">
      <c r="A61" s="22">
        <v>38416</v>
      </c>
      <c r="B61" s="15">
        <v>23803730.369999997</v>
      </c>
      <c r="C61" s="15">
        <f t="shared" si="0"/>
        <v>21902434.339999996</v>
      </c>
      <c r="D61" s="15">
        <v>1901296.03</v>
      </c>
      <c r="E61" s="16">
        <v>1324</v>
      </c>
      <c r="F61" s="15">
        <v>205.14631312041433</v>
      </c>
    </row>
    <row r="62" spans="1:6" ht="12.75">
      <c r="A62" s="22">
        <v>38423</v>
      </c>
      <c r="B62" s="15">
        <v>22513582.97</v>
      </c>
      <c r="C62" s="15">
        <f t="shared" si="0"/>
        <v>20815139.31</v>
      </c>
      <c r="D62" s="15">
        <v>1698443.66</v>
      </c>
      <c r="E62" s="16">
        <v>1324</v>
      </c>
      <c r="F62" s="15">
        <v>183.2589188605956</v>
      </c>
    </row>
    <row r="63" spans="1:6" ht="12.75">
      <c r="A63" s="22">
        <v>38430</v>
      </c>
      <c r="B63" s="15">
        <v>26774349.869999997</v>
      </c>
      <c r="C63" s="15">
        <f t="shared" si="0"/>
        <v>24645889.339999996</v>
      </c>
      <c r="D63" s="15">
        <v>2128460.53</v>
      </c>
      <c r="E63" s="16">
        <v>1324</v>
      </c>
      <c r="F63" s="15">
        <v>229.65694108761326</v>
      </c>
    </row>
    <row r="64" spans="1:6" ht="12.75">
      <c r="A64" s="22">
        <v>38437</v>
      </c>
      <c r="B64" s="15">
        <v>24467044.43</v>
      </c>
      <c r="C64" s="15">
        <f t="shared" si="0"/>
        <v>22513674.99</v>
      </c>
      <c r="D64" s="15">
        <v>1953369.44</v>
      </c>
      <c r="E64" s="16">
        <v>1324</v>
      </c>
      <c r="F64" s="15">
        <v>210.76493741907638</v>
      </c>
    </row>
    <row r="65" ht="12.75">
      <c r="A65" s="22"/>
    </row>
    <row r="66" spans="1:6" ht="13.5" thickBot="1">
      <c r="A66" s="3" t="s">
        <v>8</v>
      </c>
      <c r="B66" s="17">
        <f>SUM(B13:B64)</f>
        <v>1098606475.9000006</v>
      </c>
      <c r="C66" s="17">
        <f>SUM(C13:C64)</f>
        <v>1011583701.2399998</v>
      </c>
      <c r="D66" s="17">
        <f>SUM(D13:D64)</f>
        <v>87022774.66</v>
      </c>
      <c r="E66" s="24">
        <f>SUM(E13:E64)/COUNT(E13:E64)</f>
        <v>1324</v>
      </c>
      <c r="F66" s="17">
        <f>+D66/SUM(E13:E64)/7</f>
        <v>180.56915163009197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56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ht="18">
      <c r="A1" s="37" t="s">
        <v>16</v>
      </c>
      <c r="B1" s="37"/>
      <c r="C1" s="37"/>
      <c r="D1" s="37"/>
      <c r="E1" s="37"/>
      <c r="F1" s="37"/>
      <c r="G1" s="26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27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27"/>
      <c r="H3" s="27"/>
      <c r="I3" s="27"/>
    </row>
    <row r="4" spans="1:9" s="1" customFormat="1" ht="14.25">
      <c r="A4" s="44" t="s">
        <v>19</v>
      </c>
      <c r="B4" s="44"/>
      <c r="C4" s="44"/>
      <c r="D4" s="44"/>
      <c r="E4" s="44"/>
      <c r="F4" s="44"/>
      <c r="G4" s="28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29"/>
      <c r="H5" s="29"/>
      <c r="I5" s="29"/>
    </row>
    <row r="6" spans="1:6" s="1" customFormat="1" ht="14.25">
      <c r="A6" s="31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1" t="s">
        <v>21</v>
      </c>
      <c r="B8" s="42"/>
      <c r="C8" s="42"/>
      <c r="D8" s="42"/>
      <c r="E8" s="42"/>
      <c r="F8" s="43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2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37716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f>+A13+7</f>
        <v>37723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f aca="true" t="shared" si="0" ref="A15:A55">+A14+7</f>
        <v>37730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f t="shared" si="0"/>
        <v>37737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f t="shared" si="0"/>
        <v>37744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f t="shared" si="0"/>
        <v>37751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f t="shared" si="0"/>
        <v>37758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f t="shared" si="0"/>
        <v>37765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f t="shared" si="0"/>
        <v>37772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f t="shared" si="0"/>
        <v>37779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f t="shared" si="0"/>
        <v>37786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f t="shared" si="0"/>
        <v>37793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f t="shared" si="0"/>
        <v>37800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f t="shared" si="0"/>
        <v>37807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</row>
    <row r="27" spans="1:6" ht="12.75">
      <c r="A27" s="22">
        <f t="shared" si="0"/>
        <v>37814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</row>
    <row r="28" spans="1:6" ht="12.75">
      <c r="A28" s="22">
        <f t="shared" si="0"/>
        <v>37821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</row>
    <row r="29" spans="1:6" ht="12.75">
      <c r="A29" s="22">
        <f t="shared" si="0"/>
        <v>37828</v>
      </c>
      <c r="B29" s="15">
        <v>0</v>
      </c>
      <c r="C29" s="15">
        <v>0</v>
      </c>
      <c r="D29" s="15">
        <v>0</v>
      </c>
      <c r="E29" s="16">
        <v>0</v>
      </c>
      <c r="F29" s="15">
        <v>0</v>
      </c>
    </row>
    <row r="30" spans="1:6" ht="12.75">
      <c r="A30" s="22">
        <f t="shared" si="0"/>
        <v>37835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</row>
    <row r="31" spans="1:6" ht="12.75">
      <c r="A31" s="22">
        <f t="shared" si="0"/>
        <v>37842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</row>
    <row r="32" spans="1:6" ht="12.75">
      <c r="A32" s="22">
        <f t="shared" si="0"/>
        <v>37849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</row>
    <row r="33" spans="1:6" ht="12.75">
      <c r="A33" s="22">
        <f t="shared" si="0"/>
        <v>37856</v>
      </c>
      <c r="B33" s="15">
        <v>0</v>
      </c>
      <c r="C33" s="15">
        <v>0</v>
      </c>
      <c r="D33" s="15">
        <v>0</v>
      </c>
      <c r="E33" s="16">
        <v>0</v>
      </c>
      <c r="F33" s="15">
        <v>0</v>
      </c>
    </row>
    <row r="34" spans="1:6" ht="12.75">
      <c r="A34" s="22">
        <f t="shared" si="0"/>
        <v>37863</v>
      </c>
      <c r="B34" s="15">
        <v>0</v>
      </c>
      <c r="C34" s="15">
        <v>0</v>
      </c>
      <c r="D34" s="15">
        <v>0</v>
      </c>
      <c r="E34" s="16">
        <v>0</v>
      </c>
      <c r="F34" s="15">
        <v>0</v>
      </c>
    </row>
    <row r="35" spans="1:6" ht="12.75">
      <c r="A35" s="22">
        <f t="shared" si="0"/>
        <v>37870</v>
      </c>
      <c r="B35" s="15">
        <v>0</v>
      </c>
      <c r="C35" s="15">
        <v>0</v>
      </c>
      <c r="D35" s="15">
        <v>0</v>
      </c>
      <c r="E35" s="16">
        <v>0</v>
      </c>
      <c r="F35" s="15">
        <v>0</v>
      </c>
    </row>
    <row r="36" spans="1:6" ht="12.75">
      <c r="A36" s="22">
        <f t="shared" si="0"/>
        <v>37877</v>
      </c>
      <c r="B36" s="15">
        <v>0</v>
      </c>
      <c r="C36" s="15">
        <v>0</v>
      </c>
      <c r="D36" s="15">
        <v>0</v>
      </c>
      <c r="E36" s="16">
        <v>0</v>
      </c>
      <c r="F36" s="15">
        <v>0</v>
      </c>
    </row>
    <row r="37" spans="1:6" ht="12.75">
      <c r="A37" s="22">
        <f t="shared" si="0"/>
        <v>37884</v>
      </c>
      <c r="B37" s="15">
        <v>0</v>
      </c>
      <c r="C37" s="15">
        <v>0</v>
      </c>
      <c r="D37" s="15">
        <v>0</v>
      </c>
      <c r="E37" s="16">
        <v>0</v>
      </c>
      <c r="F37" s="15">
        <v>0</v>
      </c>
    </row>
    <row r="38" spans="1:6" ht="12.75">
      <c r="A38" s="22">
        <f t="shared" si="0"/>
        <v>37891</v>
      </c>
      <c r="B38" s="15">
        <v>0</v>
      </c>
      <c r="C38" s="15">
        <v>0</v>
      </c>
      <c r="D38" s="15">
        <v>0</v>
      </c>
      <c r="E38" s="16">
        <v>0</v>
      </c>
      <c r="F38" s="15">
        <v>0</v>
      </c>
    </row>
    <row r="39" spans="1:6" ht="12.75">
      <c r="A39" s="22">
        <f t="shared" si="0"/>
        <v>37898</v>
      </c>
      <c r="B39" s="15">
        <v>0</v>
      </c>
      <c r="C39" s="15">
        <v>0</v>
      </c>
      <c r="D39" s="15">
        <v>0</v>
      </c>
      <c r="E39" s="16">
        <v>0</v>
      </c>
      <c r="F39" s="15">
        <v>0</v>
      </c>
    </row>
    <row r="40" spans="1:6" ht="12.75">
      <c r="A40" s="22">
        <f t="shared" si="0"/>
        <v>37905</v>
      </c>
      <c r="B40" s="15">
        <v>0</v>
      </c>
      <c r="C40" s="15">
        <v>0</v>
      </c>
      <c r="D40" s="15">
        <v>0</v>
      </c>
      <c r="E40" s="16">
        <v>0</v>
      </c>
      <c r="F40" s="15">
        <v>0</v>
      </c>
    </row>
    <row r="41" spans="1:6" ht="12.75">
      <c r="A41" s="22">
        <f t="shared" si="0"/>
        <v>37912</v>
      </c>
      <c r="B41" s="15">
        <v>0</v>
      </c>
      <c r="C41" s="15">
        <v>0</v>
      </c>
      <c r="D41" s="15">
        <v>0</v>
      </c>
      <c r="E41" s="16">
        <v>0</v>
      </c>
      <c r="F41" s="15">
        <v>0</v>
      </c>
    </row>
    <row r="42" spans="1:6" ht="12.75">
      <c r="A42" s="22">
        <f t="shared" si="0"/>
        <v>37919</v>
      </c>
      <c r="B42" s="15">
        <v>0</v>
      </c>
      <c r="C42" s="15">
        <v>0</v>
      </c>
      <c r="D42" s="15">
        <v>0</v>
      </c>
      <c r="E42" s="16">
        <v>0</v>
      </c>
      <c r="F42" s="15">
        <v>0</v>
      </c>
    </row>
    <row r="43" spans="1:6" ht="12.75">
      <c r="A43" s="22">
        <f t="shared" si="0"/>
        <v>37926</v>
      </c>
      <c r="B43" s="15">
        <v>0</v>
      </c>
      <c r="C43" s="15">
        <v>0</v>
      </c>
      <c r="D43" s="15">
        <v>0</v>
      </c>
      <c r="E43" s="16">
        <v>0</v>
      </c>
      <c r="F43" s="15">
        <v>0</v>
      </c>
    </row>
    <row r="44" spans="1:6" ht="12.75">
      <c r="A44" s="22">
        <f t="shared" si="0"/>
        <v>37933</v>
      </c>
      <c r="B44" s="15">
        <v>0</v>
      </c>
      <c r="C44" s="15">
        <v>0</v>
      </c>
      <c r="D44" s="15">
        <v>0</v>
      </c>
      <c r="E44" s="16">
        <v>0</v>
      </c>
      <c r="F44" s="15">
        <v>0</v>
      </c>
    </row>
    <row r="45" spans="1:6" ht="12.75">
      <c r="A45" s="22">
        <f t="shared" si="0"/>
        <v>37940</v>
      </c>
      <c r="B45" s="15">
        <v>0</v>
      </c>
      <c r="C45" s="15">
        <v>0</v>
      </c>
      <c r="D45" s="15">
        <v>0</v>
      </c>
      <c r="E45" s="16">
        <v>0</v>
      </c>
      <c r="F45" s="15">
        <v>0</v>
      </c>
    </row>
    <row r="46" spans="1:6" ht="12.75">
      <c r="A46" s="22">
        <f t="shared" si="0"/>
        <v>37947</v>
      </c>
      <c r="B46" s="15">
        <v>0</v>
      </c>
      <c r="C46" s="15">
        <v>0</v>
      </c>
      <c r="D46" s="15">
        <v>0</v>
      </c>
      <c r="E46" s="16">
        <v>0</v>
      </c>
      <c r="F46" s="15">
        <v>0</v>
      </c>
    </row>
    <row r="47" spans="1:6" ht="12.75">
      <c r="A47" s="22">
        <f t="shared" si="0"/>
        <v>37954</v>
      </c>
      <c r="B47" s="15">
        <v>0</v>
      </c>
      <c r="C47" s="15">
        <v>0</v>
      </c>
      <c r="D47" s="15">
        <v>0</v>
      </c>
      <c r="E47" s="16">
        <v>0</v>
      </c>
      <c r="F47" s="15">
        <v>0</v>
      </c>
    </row>
    <row r="48" spans="1:6" ht="12.75">
      <c r="A48" s="22">
        <f t="shared" si="0"/>
        <v>37961</v>
      </c>
      <c r="B48" s="15">
        <v>0</v>
      </c>
      <c r="C48" s="15">
        <v>0</v>
      </c>
      <c r="D48" s="15">
        <v>0</v>
      </c>
      <c r="E48" s="16">
        <v>0</v>
      </c>
      <c r="F48" s="15">
        <v>0</v>
      </c>
    </row>
    <row r="49" spans="1:6" ht="12.75">
      <c r="A49" s="22">
        <f t="shared" si="0"/>
        <v>37968</v>
      </c>
      <c r="B49" s="15">
        <v>0</v>
      </c>
      <c r="C49" s="15">
        <v>0</v>
      </c>
      <c r="D49" s="15">
        <v>0</v>
      </c>
      <c r="E49" s="16">
        <v>0</v>
      </c>
      <c r="F49" s="15">
        <v>0</v>
      </c>
    </row>
    <row r="50" spans="1:6" ht="12.75">
      <c r="A50" s="22">
        <f t="shared" si="0"/>
        <v>37975</v>
      </c>
      <c r="B50" s="15">
        <v>0</v>
      </c>
      <c r="C50" s="15">
        <v>0</v>
      </c>
      <c r="D50" s="15">
        <v>0</v>
      </c>
      <c r="E50" s="16">
        <v>0</v>
      </c>
      <c r="F50" s="15">
        <v>0</v>
      </c>
    </row>
    <row r="51" spans="1:6" ht="12.75">
      <c r="A51" s="22">
        <f t="shared" si="0"/>
        <v>37982</v>
      </c>
      <c r="B51" s="15">
        <v>0</v>
      </c>
      <c r="C51" s="15">
        <v>0</v>
      </c>
      <c r="D51" s="15">
        <v>0</v>
      </c>
      <c r="E51" s="16">
        <v>0</v>
      </c>
      <c r="F51" s="15">
        <v>0</v>
      </c>
    </row>
    <row r="52" spans="1:6" ht="12.75">
      <c r="A52" s="22">
        <f t="shared" si="0"/>
        <v>37989</v>
      </c>
      <c r="B52" s="15">
        <v>0</v>
      </c>
      <c r="C52" s="15">
        <v>0</v>
      </c>
      <c r="D52" s="15">
        <v>0</v>
      </c>
      <c r="E52" s="16">
        <v>0</v>
      </c>
      <c r="F52" s="15">
        <v>0</v>
      </c>
    </row>
    <row r="53" spans="1:6" ht="12.75">
      <c r="A53" s="22">
        <f t="shared" si="0"/>
        <v>37996</v>
      </c>
      <c r="B53" s="15">
        <v>0</v>
      </c>
      <c r="C53" s="15">
        <v>0</v>
      </c>
      <c r="D53" s="15">
        <v>0</v>
      </c>
      <c r="E53" s="16">
        <v>0</v>
      </c>
      <c r="F53" s="15">
        <v>0</v>
      </c>
    </row>
    <row r="54" spans="1:6" ht="12.75">
      <c r="A54" s="22">
        <f t="shared" si="0"/>
        <v>38003</v>
      </c>
      <c r="B54" s="15">
        <v>0</v>
      </c>
      <c r="C54" s="15">
        <v>0</v>
      </c>
      <c r="D54" s="15">
        <v>0</v>
      </c>
      <c r="E54" s="16">
        <v>0</v>
      </c>
      <c r="F54" s="15">
        <v>0</v>
      </c>
    </row>
    <row r="55" spans="1:6" ht="12.75">
      <c r="A55" s="22">
        <f t="shared" si="0"/>
        <v>38010</v>
      </c>
      <c r="B55" s="15">
        <v>0</v>
      </c>
      <c r="C55" s="15">
        <v>0</v>
      </c>
      <c r="D55" s="15">
        <v>0</v>
      </c>
      <c r="E55" s="16">
        <v>0</v>
      </c>
      <c r="F55" s="15">
        <v>0</v>
      </c>
    </row>
    <row r="56" spans="1:6" ht="12.75">
      <c r="A56" s="34">
        <v>38017</v>
      </c>
      <c r="B56" s="15">
        <v>10924428.780000001</v>
      </c>
      <c r="C56" s="15">
        <f aca="true" t="shared" si="1" ref="C56:C64">+B56-D56</f>
        <v>10068125.540000001</v>
      </c>
      <c r="D56" s="15">
        <v>856303.24</v>
      </c>
      <c r="E56" s="16">
        <v>1324</v>
      </c>
      <c r="F56" s="15">
        <v>161.68867824773415</v>
      </c>
    </row>
    <row r="57" spans="1:6" ht="12.75">
      <c r="A57" s="34">
        <v>38024</v>
      </c>
      <c r="B57" s="15">
        <v>14312145.079999998</v>
      </c>
      <c r="C57" s="15">
        <f t="shared" si="1"/>
        <v>13221574.559999999</v>
      </c>
      <c r="D57" s="15">
        <v>1090570.52</v>
      </c>
      <c r="E57" s="16">
        <v>1324</v>
      </c>
      <c r="F57" s="15">
        <v>117.67053517479499</v>
      </c>
    </row>
    <row r="58" spans="1:6" ht="12.75">
      <c r="A58" s="34">
        <v>38031</v>
      </c>
      <c r="B58" s="15">
        <v>16975000.52</v>
      </c>
      <c r="C58" s="15">
        <f t="shared" si="1"/>
        <v>15691346.459999999</v>
      </c>
      <c r="D58" s="15">
        <v>1283654.06</v>
      </c>
      <c r="E58" s="16">
        <v>1324</v>
      </c>
      <c r="F58" s="15">
        <v>138.50389080707814</v>
      </c>
    </row>
    <row r="59" spans="1:6" ht="12.75">
      <c r="A59" s="34">
        <v>38038</v>
      </c>
      <c r="B59" s="15">
        <v>17878831.880000003</v>
      </c>
      <c r="C59" s="15">
        <f t="shared" si="1"/>
        <v>16504792.690000003</v>
      </c>
      <c r="D59" s="15">
        <v>1374039.19</v>
      </c>
      <c r="E59" s="16">
        <v>1324</v>
      </c>
      <c r="F59" s="15">
        <v>148.2562785930082</v>
      </c>
    </row>
    <row r="60" spans="1:6" ht="12.75">
      <c r="A60" s="34">
        <v>38045</v>
      </c>
      <c r="B60" s="15">
        <v>17768953.840000004</v>
      </c>
      <c r="C60" s="15">
        <f t="shared" si="1"/>
        <v>16412554.210000005</v>
      </c>
      <c r="D60" s="15">
        <v>1356399.63</v>
      </c>
      <c r="E60" s="16">
        <v>1324</v>
      </c>
      <c r="F60" s="15">
        <v>146.35300280535176</v>
      </c>
    </row>
    <row r="61" spans="1:6" ht="12.75">
      <c r="A61" s="34">
        <v>38052</v>
      </c>
      <c r="B61" s="15">
        <v>20018711.49</v>
      </c>
      <c r="C61" s="15">
        <f t="shared" si="1"/>
        <v>18513637.669999998</v>
      </c>
      <c r="D61" s="15">
        <v>1505073.82</v>
      </c>
      <c r="E61" s="16">
        <v>1324</v>
      </c>
      <c r="F61" s="15">
        <v>162.39467198964175</v>
      </c>
    </row>
    <row r="62" spans="1:6" ht="12.75">
      <c r="A62" s="34">
        <v>38059</v>
      </c>
      <c r="B62" s="15">
        <v>19947789.8</v>
      </c>
      <c r="C62" s="15">
        <f t="shared" si="1"/>
        <v>18458059.740000002</v>
      </c>
      <c r="D62" s="15">
        <v>1489730.06</v>
      </c>
      <c r="E62" s="16">
        <v>1324</v>
      </c>
      <c r="F62" s="15">
        <v>160.7391087613293</v>
      </c>
    </row>
    <row r="63" spans="1:6" ht="12.75">
      <c r="A63" s="34">
        <v>38066</v>
      </c>
      <c r="B63" s="15">
        <v>18382157.52</v>
      </c>
      <c r="C63" s="15">
        <f t="shared" si="1"/>
        <v>16948031.53</v>
      </c>
      <c r="D63" s="15">
        <v>1434125.99</v>
      </c>
      <c r="E63" s="16">
        <v>1324</v>
      </c>
      <c r="F63" s="15">
        <v>154.7395328010358</v>
      </c>
    </row>
    <row r="64" spans="1:6" ht="12.75">
      <c r="A64" s="34">
        <v>38073</v>
      </c>
      <c r="B64" s="15">
        <v>19956974.16</v>
      </c>
      <c r="C64" s="15">
        <f t="shared" si="1"/>
        <v>18416711.57</v>
      </c>
      <c r="D64" s="15">
        <v>1540262.59</v>
      </c>
      <c r="E64" s="16">
        <v>1324</v>
      </c>
      <c r="F64" s="15">
        <v>166.19147496763057</v>
      </c>
    </row>
    <row r="65" ht="12.75">
      <c r="A65" s="25"/>
    </row>
    <row r="66" spans="1:6" ht="13.5" thickBot="1">
      <c r="A66" s="25" t="s">
        <v>8</v>
      </c>
      <c r="B66" s="17">
        <f>SUM(B56:B64)</f>
        <v>156164993.07</v>
      </c>
      <c r="C66" s="17">
        <f>SUM(C56:C64)</f>
        <v>144234833.97</v>
      </c>
      <c r="D66" s="17">
        <f>SUM(D56:D64)</f>
        <v>11930159.1</v>
      </c>
      <c r="E66" s="24">
        <f>SUM(E56:E64)/COUNT(E56:E64)</f>
        <v>1324</v>
      </c>
      <c r="F66" s="17">
        <v>150</v>
      </c>
    </row>
    <row r="67" spans="1:4" s="21" customFormat="1" ht="13.5" thickTop="1">
      <c r="A67" s="22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saratogagamingand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A4" sqref="A4:G4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40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44653</v>
      </c>
      <c r="B12" s="15">
        <v>43852657.349999994</v>
      </c>
      <c r="C12" s="15">
        <v>277914.44</v>
      </c>
      <c r="D12" s="15">
        <f aca="true" t="shared" si="0" ref="D12:D63">IF(ISBLANK(B12),"",B12-C12-E12)</f>
        <v>40446654.78</v>
      </c>
      <c r="E12" s="15">
        <v>3128088.129999999</v>
      </c>
      <c r="F12" s="16">
        <v>1294</v>
      </c>
      <c r="G12" s="15">
        <f aca="true" t="shared" si="1" ref="G12:G35">IF(ISBLANK(B12),"",E12/F12/7)</f>
        <v>345.33982446456156</v>
      </c>
    </row>
    <row r="13" spans="1:7" ht="12.75">
      <c r="A13" s="22">
        <f aca="true" t="shared" si="2" ref="A13:A63">+A12+7</f>
        <v>44660</v>
      </c>
      <c r="B13" s="15">
        <v>41341009.78</v>
      </c>
      <c r="C13" s="15">
        <v>272836.61</v>
      </c>
      <c r="D13" s="15">
        <f>IF(ISBLANK(B13),"",B13-C13-E13)</f>
        <v>38358637.13</v>
      </c>
      <c r="E13" s="15">
        <v>2709536.039999998</v>
      </c>
      <c r="F13" s="16">
        <v>1294</v>
      </c>
      <c r="G13" s="15">
        <f t="shared" si="1"/>
        <v>299.1318215941707</v>
      </c>
    </row>
    <row r="14" spans="1:7" ht="12.75">
      <c r="A14" s="22">
        <f t="shared" si="2"/>
        <v>44667</v>
      </c>
      <c r="B14" s="15">
        <v>38685178.97</v>
      </c>
      <c r="C14" s="15">
        <v>257010.40000000002</v>
      </c>
      <c r="D14" s="15">
        <f t="shared" si="0"/>
        <v>35818496.94</v>
      </c>
      <c r="E14" s="15">
        <v>2609671.6300000004</v>
      </c>
      <c r="F14" s="16">
        <v>1294</v>
      </c>
      <c r="G14" s="15">
        <f t="shared" si="1"/>
        <v>288.1068260101568</v>
      </c>
    </row>
    <row r="15" spans="1:7" ht="12.75">
      <c r="A15" s="22">
        <f t="shared" si="2"/>
        <v>44674</v>
      </c>
      <c r="B15" s="15">
        <v>40028868.48</v>
      </c>
      <c r="C15" s="15">
        <v>225730.39999999997</v>
      </c>
      <c r="D15" s="15">
        <f>IF(ISBLANK(B15),"",B15-C15-E15)</f>
        <v>36992988.23</v>
      </c>
      <c r="E15" s="15">
        <v>2810149.85</v>
      </c>
      <c r="F15" s="16">
        <v>1294</v>
      </c>
      <c r="G15" s="15">
        <f t="shared" si="1"/>
        <v>310.23955067343786</v>
      </c>
    </row>
    <row r="16" spans="1:7" ht="12.75">
      <c r="A16" s="22">
        <f t="shared" si="2"/>
        <v>44681</v>
      </c>
      <c r="B16" s="15">
        <v>40562706.18</v>
      </c>
      <c r="C16" s="15">
        <v>289186.62</v>
      </c>
      <c r="D16" s="15">
        <f>IF(ISBLANK(B16),"",B16-C16-E16)</f>
        <v>37571646.230000004</v>
      </c>
      <c r="E16" s="15">
        <v>2701873.33</v>
      </c>
      <c r="F16" s="16">
        <v>1294</v>
      </c>
      <c r="G16" s="15">
        <f t="shared" si="1"/>
        <v>298.28586111724445</v>
      </c>
    </row>
    <row r="17" spans="1:7" ht="12.75">
      <c r="A17" s="22">
        <f t="shared" si="2"/>
        <v>44688</v>
      </c>
      <c r="B17" s="15">
        <v>41452282.690000005</v>
      </c>
      <c r="C17" s="15">
        <v>271081.38</v>
      </c>
      <c r="D17" s="15">
        <f aca="true" t="shared" si="3" ref="D17:D35">IF(ISBLANK(B17),"",B17-C17-E17)</f>
        <v>38213660.45</v>
      </c>
      <c r="E17" s="15">
        <v>2967540.86</v>
      </c>
      <c r="F17" s="16">
        <v>1294</v>
      </c>
      <c r="G17" s="15">
        <f t="shared" si="1"/>
        <v>327.61546257451977</v>
      </c>
    </row>
    <row r="18" spans="1:7" ht="12.75">
      <c r="A18" s="22">
        <f t="shared" si="2"/>
        <v>44695</v>
      </c>
      <c r="B18" s="15">
        <v>38124899.45</v>
      </c>
      <c r="C18" s="15">
        <v>262316.6</v>
      </c>
      <c r="D18" s="15">
        <f t="shared" si="3"/>
        <v>35183890.59</v>
      </c>
      <c r="E18" s="15">
        <v>2678692.2600000007</v>
      </c>
      <c r="F18" s="16">
        <v>1294</v>
      </c>
      <c r="G18" s="15">
        <f t="shared" si="1"/>
        <v>295.72667917862674</v>
      </c>
    </row>
    <row r="19" spans="1:7" ht="12.75">
      <c r="A19" s="22">
        <f t="shared" si="2"/>
        <v>44702</v>
      </c>
      <c r="B19" s="15">
        <v>37552981.629999995</v>
      </c>
      <c r="C19" s="15">
        <v>184741.55000000005</v>
      </c>
      <c r="D19" s="15">
        <f t="shared" si="3"/>
        <v>34913383.989999995</v>
      </c>
      <c r="E19" s="15">
        <v>2454856.0900000003</v>
      </c>
      <c r="F19" s="16">
        <v>1294</v>
      </c>
      <c r="G19" s="15">
        <f t="shared" si="1"/>
        <v>271.01524508721576</v>
      </c>
    </row>
    <row r="20" spans="1:7" ht="12.75">
      <c r="A20" s="22">
        <f t="shared" si="2"/>
        <v>44709</v>
      </c>
      <c r="B20" s="15">
        <v>39984839.78</v>
      </c>
      <c r="C20" s="15">
        <v>269591.34</v>
      </c>
      <c r="D20" s="15">
        <f t="shared" si="3"/>
        <v>36997413.22</v>
      </c>
      <c r="E20" s="15">
        <v>2717835.2199999997</v>
      </c>
      <c r="F20" s="16">
        <v>1294</v>
      </c>
      <c r="G20" s="15">
        <f t="shared" si="1"/>
        <v>300.04804813424596</v>
      </c>
    </row>
    <row r="21" spans="1:7" ht="12.75">
      <c r="A21" s="22">
        <f t="shared" si="2"/>
        <v>44716</v>
      </c>
      <c r="B21" s="15">
        <v>41535819.940000005</v>
      </c>
      <c r="C21" s="15">
        <v>283835.35</v>
      </c>
      <c r="D21" s="15">
        <f t="shared" si="3"/>
        <v>38309977.480000004</v>
      </c>
      <c r="E21" s="15">
        <v>2942007.11</v>
      </c>
      <c r="F21" s="16">
        <v>1294</v>
      </c>
      <c r="G21" s="15">
        <f t="shared" si="1"/>
        <v>324.79654559505406</v>
      </c>
    </row>
    <row r="22" spans="1:7" ht="12.75">
      <c r="A22" s="22">
        <f t="shared" si="2"/>
        <v>44723</v>
      </c>
      <c r="B22" s="15">
        <v>37957550.620000005</v>
      </c>
      <c r="C22" s="15">
        <v>257661.74</v>
      </c>
      <c r="D22" s="15">
        <f t="shared" si="3"/>
        <v>34877162.83</v>
      </c>
      <c r="E22" s="15">
        <v>2822726.050000001</v>
      </c>
      <c r="F22" s="16">
        <v>1294</v>
      </c>
      <c r="G22" s="15">
        <f t="shared" si="1"/>
        <v>311.62795871053225</v>
      </c>
    </row>
    <row r="23" spans="1:7" ht="12.75">
      <c r="A23" s="22">
        <f t="shared" si="2"/>
        <v>44730</v>
      </c>
      <c r="B23" s="15">
        <v>38128025.989999995</v>
      </c>
      <c r="C23" s="15">
        <v>265174.07</v>
      </c>
      <c r="D23" s="15">
        <f t="shared" si="3"/>
        <v>35095602.589999996</v>
      </c>
      <c r="E23" s="15">
        <v>2767249.33</v>
      </c>
      <c r="F23" s="16">
        <v>1294</v>
      </c>
      <c r="G23" s="15">
        <f t="shared" si="1"/>
        <v>305.50334842128507</v>
      </c>
    </row>
    <row r="24" spans="1:7" ht="12.75">
      <c r="A24" s="22">
        <f t="shared" si="2"/>
        <v>44737</v>
      </c>
      <c r="B24" s="15">
        <v>39569717.45</v>
      </c>
      <c r="C24" s="15">
        <v>272830.73</v>
      </c>
      <c r="D24" s="15">
        <f t="shared" si="3"/>
        <v>36679748.120000005</v>
      </c>
      <c r="E24" s="15">
        <v>2617138.6000000006</v>
      </c>
      <c r="F24" s="16">
        <v>1294</v>
      </c>
      <c r="G24" s="15">
        <f t="shared" si="1"/>
        <v>288.93117686023413</v>
      </c>
    </row>
    <row r="25" spans="1:7" ht="12.75">
      <c r="A25" s="22">
        <f t="shared" si="2"/>
        <v>44744</v>
      </c>
      <c r="B25" s="15">
        <v>40974539.919999994</v>
      </c>
      <c r="C25" s="15">
        <v>225451.72999999995</v>
      </c>
      <c r="D25" s="15">
        <f t="shared" si="3"/>
        <v>37775775.019999996</v>
      </c>
      <c r="E25" s="15">
        <v>2973313.17</v>
      </c>
      <c r="F25" s="16">
        <v>1294</v>
      </c>
      <c r="G25" s="15">
        <f t="shared" si="1"/>
        <v>328.2527235592846</v>
      </c>
    </row>
    <row r="26" spans="1:7" ht="12.75">
      <c r="A26" s="22">
        <f t="shared" si="2"/>
        <v>44751</v>
      </c>
      <c r="B26" s="15">
        <v>43267953.419999994</v>
      </c>
      <c r="C26" s="15">
        <v>284368.54</v>
      </c>
      <c r="D26" s="15">
        <f t="shared" si="3"/>
        <v>39931642.279999994</v>
      </c>
      <c r="E26" s="15">
        <v>3051942.6000000024</v>
      </c>
      <c r="F26" s="16">
        <v>1294</v>
      </c>
      <c r="G26" s="15">
        <f t="shared" si="1"/>
        <v>336.9333848531687</v>
      </c>
    </row>
    <row r="27" spans="1:7" ht="12.75">
      <c r="A27" s="22">
        <f t="shared" si="2"/>
        <v>44758</v>
      </c>
      <c r="B27" s="15">
        <v>39161494.13</v>
      </c>
      <c r="C27" s="15">
        <v>273840.35</v>
      </c>
      <c r="D27" s="15">
        <f t="shared" si="3"/>
        <v>36065790.18</v>
      </c>
      <c r="E27" s="15">
        <v>2821863.599999999</v>
      </c>
      <c r="F27" s="16">
        <v>1294</v>
      </c>
      <c r="G27" s="15">
        <f t="shared" si="1"/>
        <v>311.5327445352174</v>
      </c>
    </row>
    <row r="28" spans="1:7" ht="12.75">
      <c r="A28" s="22">
        <f t="shared" si="2"/>
        <v>44765</v>
      </c>
      <c r="B28" s="15">
        <v>41605101.29</v>
      </c>
      <c r="C28" s="15">
        <v>276266.55</v>
      </c>
      <c r="D28" s="15">
        <f t="shared" si="3"/>
        <v>38543445.660000004</v>
      </c>
      <c r="E28" s="15">
        <v>2785389.0800000005</v>
      </c>
      <c r="F28" s="16">
        <v>1294</v>
      </c>
      <c r="G28" s="15">
        <f t="shared" si="1"/>
        <v>307.5059704128947</v>
      </c>
    </row>
    <row r="29" spans="1:7" ht="12.75">
      <c r="A29" s="22">
        <f t="shared" si="2"/>
        <v>44772</v>
      </c>
      <c r="B29" s="15">
        <v>44980505.49</v>
      </c>
      <c r="C29" s="15">
        <v>234646.3</v>
      </c>
      <c r="D29" s="15">
        <f t="shared" si="3"/>
        <v>41532587.84</v>
      </c>
      <c r="E29" s="15">
        <v>3213271.350000001</v>
      </c>
      <c r="F29" s="16">
        <v>1290</v>
      </c>
      <c r="G29" s="15">
        <f t="shared" si="1"/>
        <v>355.84400332225925</v>
      </c>
    </row>
    <row r="30" spans="1:7" ht="12.75">
      <c r="A30" s="22">
        <f t="shared" si="2"/>
        <v>44779</v>
      </c>
      <c r="B30" s="15">
        <v>43475639.400000006</v>
      </c>
      <c r="C30" s="15">
        <v>276951.13</v>
      </c>
      <c r="D30" s="15">
        <f t="shared" si="3"/>
        <v>40265332.54000001</v>
      </c>
      <c r="E30" s="15">
        <v>2933355.7300000004</v>
      </c>
      <c r="F30" s="16">
        <v>1296</v>
      </c>
      <c r="G30" s="15">
        <f t="shared" si="1"/>
        <v>323.34168099647275</v>
      </c>
    </row>
    <row r="31" spans="1:7" ht="12.75">
      <c r="A31" s="22">
        <f t="shared" si="2"/>
        <v>44786</v>
      </c>
      <c r="B31" s="15">
        <v>45529350.14</v>
      </c>
      <c r="C31" s="15">
        <v>285900.26</v>
      </c>
      <c r="D31" s="15">
        <f t="shared" si="3"/>
        <v>42115584.63</v>
      </c>
      <c r="E31" s="15">
        <v>3127865.250000001</v>
      </c>
      <c r="F31" s="16">
        <v>1296</v>
      </c>
      <c r="G31" s="15">
        <f t="shared" si="1"/>
        <v>344.78232473544983</v>
      </c>
    </row>
    <row r="32" spans="1:7" ht="12.75">
      <c r="A32" s="22">
        <f t="shared" si="2"/>
        <v>44793</v>
      </c>
      <c r="B32" s="15">
        <v>44219302.42</v>
      </c>
      <c r="C32" s="15">
        <v>288570.46</v>
      </c>
      <c r="D32" s="15">
        <f t="shared" si="3"/>
        <v>40690461.07</v>
      </c>
      <c r="E32" s="15">
        <v>3240270.8900000006</v>
      </c>
      <c r="F32" s="16">
        <v>1296</v>
      </c>
      <c r="G32" s="15">
        <f t="shared" si="1"/>
        <v>357.17271715167556</v>
      </c>
    </row>
    <row r="33" spans="1:7" ht="12.75">
      <c r="A33" s="22">
        <f t="shared" si="2"/>
        <v>44800</v>
      </c>
      <c r="B33" s="15">
        <v>44792645.49999999</v>
      </c>
      <c r="C33" s="15">
        <v>274526.08</v>
      </c>
      <c r="D33" s="15">
        <f t="shared" si="3"/>
        <v>41531374.9</v>
      </c>
      <c r="E33" s="15">
        <v>2986744.519999999</v>
      </c>
      <c r="F33" s="16">
        <v>1296</v>
      </c>
      <c r="G33" s="15">
        <f t="shared" si="1"/>
        <v>329.22668871252193</v>
      </c>
    </row>
    <row r="34" spans="1:7" ht="12.75">
      <c r="A34" s="22">
        <f t="shared" si="2"/>
        <v>44807</v>
      </c>
      <c r="B34" s="15">
        <v>45899952.55</v>
      </c>
      <c r="C34" s="15">
        <v>228414.35000000003</v>
      </c>
      <c r="D34" s="15">
        <f t="shared" si="3"/>
        <v>42519368.67999999</v>
      </c>
      <c r="E34" s="15">
        <v>3152169.52</v>
      </c>
      <c r="F34" s="16">
        <v>1296</v>
      </c>
      <c r="G34" s="15">
        <f t="shared" si="1"/>
        <v>347.4613668430335</v>
      </c>
    </row>
    <row r="35" spans="1:7" ht="12.75">
      <c r="A35" s="22">
        <f t="shared" si="2"/>
        <v>44814</v>
      </c>
      <c r="B35" s="15">
        <v>40554202.92</v>
      </c>
      <c r="C35" s="15">
        <v>274025.61</v>
      </c>
      <c r="D35" s="15">
        <f t="shared" si="3"/>
        <v>37262484.68000001</v>
      </c>
      <c r="E35" s="15">
        <v>3017692.629999999</v>
      </c>
      <c r="F35" s="16">
        <v>1296</v>
      </c>
      <c r="G35" s="15">
        <f t="shared" si="1"/>
        <v>332.6380764991181</v>
      </c>
    </row>
    <row r="36" spans="1:7" ht="12.75">
      <c r="A36" s="22">
        <f t="shared" si="2"/>
        <v>44821</v>
      </c>
      <c r="B36" s="15">
        <v>37978368.99</v>
      </c>
      <c r="C36" s="15">
        <v>258720.11</v>
      </c>
      <c r="D36" s="15">
        <f t="shared" si="0"/>
        <v>35153577.02</v>
      </c>
      <c r="E36" s="15">
        <v>2566071.8600000013</v>
      </c>
      <c r="F36" s="16">
        <v>1296</v>
      </c>
      <c r="G36" s="15">
        <f>IF(ISBLANK(B36),"",E36/F36/7)</f>
        <v>282.8562455908291</v>
      </c>
    </row>
    <row r="37" spans="1:7" ht="12.75">
      <c r="A37" s="22">
        <f t="shared" si="2"/>
        <v>44828</v>
      </c>
      <c r="B37" s="18">
        <v>37730574.66</v>
      </c>
      <c r="C37" s="18">
        <v>262171.41000000003</v>
      </c>
      <c r="D37" s="18">
        <f t="shared" si="0"/>
        <v>34977202.62</v>
      </c>
      <c r="E37" s="18">
        <v>2491200.63</v>
      </c>
      <c r="F37" s="35">
        <v>1296</v>
      </c>
      <c r="G37" s="18">
        <f aca="true" t="shared" si="4" ref="G37:G63">IF(ISBLANK(B37),"",E37/F37/7)</f>
        <v>274.60324404761906</v>
      </c>
    </row>
    <row r="38" spans="1:7" ht="12.75">
      <c r="A38" s="22">
        <f t="shared" si="2"/>
        <v>44835</v>
      </c>
      <c r="B38" s="18">
        <v>38882644.78</v>
      </c>
      <c r="C38" s="18">
        <v>184903.11999999994</v>
      </c>
      <c r="D38" s="18">
        <f t="shared" si="0"/>
        <v>35910514.440000005</v>
      </c>
      <c r="E38" s="18">
        <v>2787227.2199999993</v>
      </c>
      <c r="F38" s="35">
        <v>1296</v>
      </c>
      <c r="G38" s="18">
        <f t="shared" si="4"/>
        <v>307.234041005291</v>
      </c>
    </row>
    <row r="39" spans="1:7" ht="12.75">
      <c r="A39" s="22">
        <f t="shared" si="2"/>
        <v>44842</v>
      </c>
      <c r="B39" s="36">
        <v>40536768.85</v>
      </c>
      <c r="C39" s="36">
        <v>276761.81</v>
      </c>
      <c r="D39" s="18">
        <f t="shared" si="0"/>
        <v>37448127.629999995</v>
      </c>
      <c r="E39" s="36">
        <v>2811879.41</v>
      </c>
      <c r="F39" s="35">
        <v>1297</v>
      </c>
      <c r="G39" s="18">
        <f t="shared" si="4"/>
        <v>309.7124584205309</v>
      </c>
    </row>
    <row r="40" spans="1:7" ht="12.75">
      <c r="A40" s="22">
        <f t="shared" si="2"/>
        <v>44849</v>
      </c>
      <c r="B40" s="18">
        <v>40283030.31</v>
      </c>
      <c r="C40" s="18">
        <v>268366.86</v>
      </c>
      <c r="D40" s="18">
        <f t="shared" si="0"/>
        <v>37170587.49</v>
      </c>
      <c r="E40" s="18">
        <v>2844075.9600000004</v>
      </c>
      <c r="F40" s="35">
        <v>1285</v>
      </c>
      <c r="G40" s="18">
        <f t="shared" si="4"/>
        <v>316.184097832129</v>
      </c>
    </row>
    <row r="41" spans="1:7" ht="12.75">
      <c r="A41" s="22">
        <f t="shared" si="2"/>
        <v>44856</v>
      </c>
      <c r="B41" s="18">
        <v>38141866.37</v>
      </c>
      <c r="C41" s="18">
        <v>193217.18</v>
      </c>
      <c r="D41" s="18">
        <f t="shared" si="0"/>
        <v>35200142.29</v>
      </c>
      <c r="E41" s="18">
        <v>2748506.8999999994</v>
      </c>
      <c r="F41" s="35">
        <v>1300</v>
      </c>
      <c r="G41" s="18">
        <f t="shared" si="4"/>
        <v>302.0337252747252</v>
      </c>
    </row>
    <row r="42" spans="1:7" ht="12.75">
      <c r="A42" s="22">
        <f t="shared" si="2"/>
        <v>44863</v>
      </c>
      <c r="B42" s="15">
        <v>37526100.69</v>
      </c>
      <c r="C42" s="15">
        <v>254350.11000000002</v>
      </c>
      <c r="D42" s="15">
        <f t="shared" si="0"/>
        <v>34584488.68</v>
      </c>
      <c r="E42" s="15">
        <v>2687261.9</v>
      </c>
      <c r="F42" s="16">
        <v>1300</v>
      </c>
      <c r="G42" s="15">
        <f t="shared" si="4"/>
        <v>295.3035054945055</v>
      </c>
    </row>
    <row r="43" spans="1:7" ht="12.75">
      <c r="A43" s="22">
        <f t="shared" si="2"/>
        <v>44870</v>
      </c>
      <c r="B43" s="15">
        <v>38698414.69</v>
      </c>
      <c r="C43" s="15">
        <v>267776.94</v>
      </c>
      <c r="D43" s="15">
        <f t="shared" si="0"/>
        <v>35740813.08</v>
      </c>
      <c r="E43" s="15">
        <v>2689824.6700000004</v>
      </c>
      <c r="F43" s="16">
        <v>1300</v>
      </c>
      <c r="G43" s="15">
        <f t="shared" si="4"/>
        <v>295.5851285714286</v>
      </c>
    </row>
    <row r="44" spans="1:7" ht="12.75">
      <c r="A44" s="22">
        <f t="shared" si="2"/>
        <v>44877</v>
      </c>
      <c r="B44" s="15">
        <v>37323398.010000005</v>
      </c>
      <c r="C44" s="15">
        <v>251463.72000000003</v>
      </c>
      <c r="D44" s="15">
        <f t="shared" si="0"/>
        <v>34544067.46000001</v>
      </c>
      <c r="E44" s="15">
        <v>2527866.830000001</v>
      </c>
      <c r="F44" s="16">
        <v>1300</v>
      </c>
      <c r="G44" s="15">
        <f t="shared" si="4"/>
        <v>277.78756373626385</v>
      </c>
    </row>
    <row r="45" spans="1:7" ht="12.75">
      <c r="A45" s="22">
        <f t="shared" si="2"/>
        <v>44884</v>
      </c>
      <c r="B45" s="15">
        <v>32223543.689999998</v>
      </c>
      <c r="C45" s="15">
        <v>187060.32000000004</v>
      </c>
      <c r="D45" s="15">
        <f t="shared" si="0"/>
        <v>29772984.049999997</v>
      </c>
      <c r="E45" s="15">
        <v>2263499.3200000008</v>
      </c>
      <c r="F45" s="16">
        <v>1300</v>
      </c>
      <c r="G45" s="15">
        <f t="shared" si="4"/>
        <v>248.7361890109891</v>
      </c>
    </row>
    <row r="46" spans="1:7" ht="12.75">
      <c r="A46" s="22">
        <f t="shared" si="2"/>
        <v>44891</v>
      </c>
      <c r="B46" s="15">
        <v>37324146.910000004</v>
      </c>
      <c r="C46" s="15">
        <v>236238.03</v>
      </c>
      <c r="D46" s="15">
        <f t="shared" si="0"/>
        <v>34501951.45</v>
      </c>
      <c r="E46" s="15">
        <v>2585957.4299999992</v>
      </c>
      <c r="F46" s="16">
        <v>1300</v>
      </c>
      <c r="G46" s="15">
        <f t="shared" si="4"/>
        <v>284.17114615384605</v>
      </c>
    </row>
    <row r="47" spans="1:7" ht="12.75">
      <c r="A47" s="22">
        <f t="shared" si="2"/>
        <v>44898</v>
      </c>
      <c r="B47" s="15">
        <v>33215188.810000002</v>
      </c>
      <c r="C47" s="15">
        <v>217661.47000000003</v>
      </c>
      <c r="D47" s="15">
        <f t="shared" si="0"/>
        <v>30879839.480000004</v>
      </c>
      <c r="E47" s="15">
        <v>2117687.8599999994</v>
      </c>
      <c r="F47" s="16">
        <v>1300</v>
      </c>
      <c r="G47" s="15">
        <f t="shared" si="4"/>
        <v>232.7129516483516</v>
      </c>
    </row>
    <row r="48" spans="1:7" ht="12.75">
      <c r="A48" s="22">
        <f t="shared" si="2"/>
        <v>44905</v>
      </c>
      <c r="B48" s="15">
        <v>35173280.27</v>
      </c>
      <c r="C48" s="15">
        <v>266724.13</v>
      </c>
      <c r="D48" s="15">
        <f t="shared" si="0"/>
        <v>32451449.36</v>
      </c>
      <c r="E48" s="15">
        <v>2455106.7799999993</v>
      </c>
      <c r="F48" s="16">
        <v>1300</v>
      </c>
      <c r="G48" s="15">
        <f t="shared" si="4"/>
        <v>269.7919538461538</v>
      </c>
    </row>
    <row r="49" spans="1:7" ht="12.75">
      <c r="A49" s="22">
        <f t="shared" si="2"/>
        <v>44912</v>
      </c>
      <c r="B49" s="15">
        <v>25277095.699999996</v>
      </c>
      <c r="C49" s="15">
        <v>120958.75999999998</v>
      </c>
      <c r="D49" s="15">
        <f t="shared" si="0"/>
        <v>23373950.179999992</v>
      </c>
      <c r="E49" s="15">
        <v>1782186.7599999998</v>
      </c>
      <c r="F49" s="16">
        <v>1300</v>
      </c>
      <c r="G49" s="15">
        <f t="shared" si="4"/>
        <v>195.84469890109887</v>
      </c>
    </row>
    <row r="50" spans="1:7" ht="12.75">
      <c r="A50" s="22">
        <f t="shared" si="2"/>
        <v>44919</v>
      </c>
      <c r="B50" s="15">
        <v>26471825.51</v>
      </c>
      <c r="C50" s="15">
        <v>188005.36999999997</v>
      </c>
      <c r="D50" s="15">
        <f t="shared" si="0"/>
        <v>24444935.34</v>
      </c>
      <c r="E50" s="15">
        <v>1838884.7999999998</v>
      </c>
      <c r="F50" s="16">
        <v>1300</v>
      </c>
      <c r="G50" s="15">
        <f t="shared" si="4"/>
        <v>202.07525274725273</v>
      </c>
    </row>
    <row r="51" spans="1:7" ht="12.75">
      <c r="A51" s="22">
        <f t="shared" si="2"/>
        <v>44926</v>
      </c>
      <c r="B51" s="15">
        <v>46620330.269999996</v>
      </c>
      <c r="C51" s="15">
        <v>292167.25999999995</v>
      </c>
      <c r="D51" s="15">
        <f t="shared" si="0"/>
        <v>42897885.629999995</v>
      </c>
      <c r="E51" s="15">
        <v>3430277.3799999994</v>
      </c>
      <c r="F51" s="16">
        <v>1300</v>
      </c>
      <c r="G51" s="15">
        <f t="shared" si="4"/>
        <v>376.95355824175823</v>
      </c>
    </row>
    <row r="52" spans="1:7" ht="12.75">
      <c r="A52" s="22">
        <f t="shared" si="2"/>
        <v>44933</v>
      </c>
      <c r="B52" s="15">
        <v>42487234.99</v>
      </c>
      <c r="C52" s="15">
        <v>289570.15</v>
      </c>
      <c r="D52" s="15">
        <f t="shared" si="0"/>
        <v>39070288.52</v>
      </c>
      <c r="E52" s="15">
        <v>3127376.3200000003</v>
      </c>
      <c r="F52" s="16">
        <v>1300</v>
      </c>
      <c r="G52" s="15">
        <f t="shared" si="4"/>
        <v>343.66772747252753</v>
      </c>
    </row>
    <row r="53" spans="1:7" ht="12.75">
      <c r="A53" s="22">
        <f t="shared" si="2"/>
        <v>44940</v>
      </c>
      <c r="B53" s="15">
        <v>35073387.24</v>
      </c>
      <c r="C53" s="15">
        <v>192734.31000000003</v>
      </c>
      <c r="D53" s="15">
        <f t="shared" si="0"/>
        <v>32553305.58</v>
      </c>
      <c r="E53" s="15">
        <v>2327347.35</v>
      </c>
      <c r="F53" s="16">
        <v>1300</v>
      </c>
      <c r="G53" s="15">
        <f t="shared" si="4"/>
        <v>255.75245604395604</v>
      </c>
    </row>
    <row r="54" spans="1:7" ht="12.75">
      <c r="A54" s="22">
        <f t="shared" si="2"/>
        <v>44947</v>
      </c>
      <c r="B54" s="15">
        <v>33266080.39</v>
      </c>
      <c r="C54" s="15">
        <v>237952.89999999997</v>
      </c>
      <c r="D54" s="15">
        <f t="shared" si="0"/>
        <v>30880392.500000004</v>
      </c>
      <c r="E54" s="15">
        <v>2147734.9899999993</v>
      </c>
      <c r="F54" s="16">
        <v>1300</v>
      </c>
      <c r="G54" s="15">
        <f t="shared" si="4"/>
        <v>236.01483406593397</v>
      </c>
    </row>
    <row r="55" spans="1:7" ht="12.75">
      <c r="A55" s="22">
        <f t="shared" si="2"/>
        <v>44954</v>
      </c>
      <c r="B55" s="15">
        <v>35027329.699999996</v>
      </c>
      <c r="C55" s="15">
        <v>236000.96</v>
      </c>
      <c r="D55" s="15">
        <f t="shared" si="0"/>
        <v>32257805.939999994</v>
      </c>
      <c r="E55" s="15">
        <v>2533522.8000000003</v>
      </c>
      <c r="F55" s="16">
        <v>1300</v>
      </c>
      <c r="G55" s="15">
        <f t="shared" si="4"/>
        <v>278.4090989010989</v>
      </c>
    </row>
    <row r="56" spans="1:7" ht="12.75">
      <c r="A56" s="22">
        <f t="shared" si="2"/>
        <v>44961</v>
      </c>
      <c r="B56" s="15">
        <v>32604592.790000003</v>
      </c>
      <c r="C56" s="15">
        <v>223999.72999999998</v>
      </c>
      <c r="D56" s="15">
        <f t="shared" si="0"/>
        <v>30037022.1</v>
      </c>
      <c r="E56" s="15">
        <v>2343570.96</v>
      </c>
      <c r="F56" s="16">
        <v>1300</v>
      </c>
      <c r="G56" s="15">
        <f t="shared" si="4"/>
        <v>257.5352703296703</v>
      </c>
    </row>
    <row r="57" spans="1:7" ht="12.75">
      <c r="A57" s="22">
        <f t="shared" si="2"/>
        <v>44968</v>
      </c>
      <c r="B57" s="15">
        <v>40626668.14</v>
      </c>
      <c r="C57" s="15">
        <v>266703.42000000004</v>
      </c>
      <c r="D57" s="15">
        <f t="shared" si="0"/>
        <v>37720858.31</v>
      </c>
      <c r="E57" s="15">
        <v>2639106.41</v>
      </c>
      <c r="F57" s="16">
        <v>1300</v>
      </c>
      <c r="G57" s="15">
        <f t="shared" si="4"/>
        <v>290.01169340659345</v>
      </c>
    </row>
    <row r="58" spans="1:7" ht="12.75">
      <c r="A58" s="22">
        <f t="shared" si="2"/>
        <v>44975</v>
      </c>
      <c r="B58" s="15">
        <v>39984332.85</v>
      </c>
      <c r="C58" s="15">
        <v>199184.54</v>
      </c>
      <c r="D58" s="15">
        <f t="shared" si="0"/>
        <v>36746202.510000005</v>
      </c>
      <c r="E58" s="15">
        <v>3038945.8000000007</v>
      </c>
      <c r="F58" s="16">
        <v>1300</v>
      </c>
      <c r="G58" s="15">
        <f t="shared" si="4"/>
        <v>333.95008791208795</v>
      </c>
    </row>
    <row r="59" spans="1:7" ht="12.75">
      <c r="A59" s="22">
        <f t="shared" si="2"/>
        <v>44982</v>
      </c>
      <c r="B59" s="15">
        <v>38223100.06</v>
      </c>
      <c r="C59" s="15">
        <v>242851.82000000004</v>
      </c>
      <c r="D59" s="15">
        <f t="shared" si="0"/>
        <v>35223586.74</v>
      </c>
      <c r="E59" s="15">
        <v>2756661.5</v>
      </c>
      <c r="F59" s="16">
        <v>1300</v>
      </c>
      <c r="G59" s="15">
        <f t="shared" si="4"/>
        <v>302.9298351648352</v>
      </c>
    </row>
    <row r="60" spans="1:7" ht="12.75">
      <c r="A60" s="22">
        <f t="shared" si="2"/>
        <v>44989</v>
      </c>
      <c r="B60" s="15">
        <v>37461431.32</v>
      </c>
      <c r="C60" s="15">
        <v>259648.14</v>
      </c>
      <c r="D60" s="15">
        <f t="shared" si="0"/>
        <v>34628918.81</v>
      </c>
      <c r="E60" s="15">
        <v>2572864.370000001</v>
      </c>
      <c r="F60" s="16">
        <v>1300</v>
      </c>
      <c r="G60" s="15">
        <f t="shared" si="4"/>
        <v>282.73234835164845</v>
      </c>
    </row>
    <row r="61" spans="1:7" ht="12.75">
      <c r="A61" s="22">
        <f t="shared" si="2"/>
        <v>44996</v>
      </c>
      <c r="B61" s="15">
        <v>41080402.36</v>
      </c>
      <c r="C61" s="15">
        <v>257629.37999999995</v>
      </c>
      <c r="D61" s="15">
        <f t="shared" si="0"/>
        <v>37963333.519999996</v>
      </c>
      <c r="E61" s="15">
        <v>2859439.4600000004</v>
      </c>
      <c r="F61" s="16">
        <v>1300</v>
      </c>
      <c r="G61" s="15">
        <f t="shared" si="4"/>
        <v>314.2241164835165</v>
      </c>
    </row>
    <row r="62" spans="1:7" ht="12.75">
      <c r="A62" s="22">
        <f t="shared" si="2"/>
        <v>45003</v>
      </c>
      <c r="B62" s="15">
        <v>38926022.739999995</v>
      </c>
      <c r="C62" s="15">
        <v>248607.92</v>
      </c>
      <c r="D62" s="15">
        <f t="shared" si="0"/>
        <v>35795998.42999999</v>
      </c>
      <c r="E62" s="15">
        <v>2881416.3899999997</v>
      </c>
      <c r="F62" s="16">
        <v>1204</v>
      </c>
      <c r="G62" s="15">
        <f t="shared" si="4"/>
        <v>341.88614024679634</v>
      </c>
    </row>
    <row r="63" spans="1:7" ht="12.75">
      <c r="A63" s="22">
        <f t="shared" si="2"/>
        <v>45010</v>
      </c>
      <c r="B63" s="15">
        <v>42738653.41</v>
      </c>
      <c r="C63" s="15">
        <v>284271.22</v>
      </c>
      <c r="D63" s="15">
        <f t="shared" si="0"/>
        <v>39476477.78</v>
      </c>
      <c r="E63" s="15">
        <v>2977904.409999999</v>
      </c>
      <c r="F63" s="16">
        <v>1179</v>
      </c>
      <c r="G63" s="15">
        <f t="shared" si="4"/>
        <v>360.8269005210226</v>
      </c>
    </row>
    <row r="64" ht="12.75">
      <c r="A64" s="22"/>
    </row>
    <row r="65" spans="1:7" ht="13.5" thickBot="1">
      <c r="A65" s="3" t="s">
        <v>8</v>
      </c>
      <c r="B65" s="17">
        <f>IF(SUM(B12:B64)=0,"",SUM(B12:B64))</f>
        <v>2034143039.9899995</v>
      </c>
      <c r="C65" s="17">
        <f>IF(SUM(C12:C64)=0,"",SUM(C12:C64))</f>
        <v>12978573.680000005</v>
      </c>
      <c r="D65" s="17">
        <f>IF(SUM(D12:D64)=0,"",SUM(D12:D64))</f>
        <v>1879099816.9999995</v>
      </c>
      <c r="E65" s="17">
        <f>IF(SUM(E12:E64)=0,"",SUM(E12:E64))</f>
        <v>142064649.30999997</v>
      </c>
      <c r="F65" s="24">
        <f>_xlfn.IFERROR(SUM(F12:F64)/COUNT(F12:F64)," ")</f>
        <v>1292.6346153846155</v>
      </c>
      <c r="G65" s="17">
        <f>_xlfn.IFERROR(E65/SUM(F12:F64)/7," ")</f>
        <v>301.93180150004565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39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44289</v>
      </c>
      <c r="B12" s="15">
        <v>34919671.940000005</v>
      </c>
      <c r="C12" s="15">
        <v>212860.34999999998</v>
      </c>
      <c r="D12" s="15">
        <f aca="true" t="shared" si="0" ref="D12:D63">IF(ISBLANK(B12),"",B12-C12-E12)</f>
        <v>32211174.330000002</v>
      </c>
      <c r="E12" s="15">
        <v>2495637.2600000002</v>
      </c>
      <c r="F12" s="16">
        <v>705</v>
      </c>
      <c r="G12" s="15">
        <f aca="true" t="shared" si="1" ref="G12:G35">IF(ISBLANK(B12),"",E12/F12/7)</f>
        <v>505.7015724417427</v>
      </c>
    </row>
    <row r="13" spans="1:7" ht="12.75">
      <c r="A13" s="22">
        <f aca="true" t="shared" si="2" ref="A13:A63">+A12+7</f>
        <v>44296</v>
      </c>
      <c r="B13" s="15">
        <v>36238262.79</v>
      </c>
      <c r="C13" s="15">
        <v>226294.00000000003</v>
      </c>
      <c r="D13" s="15">
        <f>IF(ISBLANK(B13),"",B13-C13-E13)</f>
        <v>33477838.979999997</v>
      </c>
      <c r="E13" s="15">
        <v>2534129.8100000005</v>
      </c>
      <c r="F13" s="16">
        <v>724</v>
      </c>
      <c r="G13" s="15">
        <f t="shared" si="1"/>
        <v>500.0256136543016</v>
      </c>
    </row>
    <row r="14" spans="1:7" ht="12.75">
      <c r="A14" s="22">
        <f t="shared" si="2"/>
        <v>44303</v>
      </c>
      <c r="B14" s="15">
        <v>37430112.15</v>
      </c>
      <c r="C14" s="15">
        <v>195059.08000000002</v>
      </c>
      <c r="D14" s="15">
        <f t="shared" si="0"/>
        <v>34771781.85</v>
      </c>
      <c r="E14" s="15">
        <v>2463271.2199999993</v>
      </c>
      <c r="F14" s="16">
        <v>724</v>
      </c>
      <c r="G14" s="15">
        <f t="shared" si="1"/>
        <v>486.04404498816086</v>
      </c>
    </row>
    <row r="15" spans="1:7" ht="12.75">
      <c r="A15" s="22">
        <f t="shared" si="2"/>
        <v>44310</v>
      </c>
      <c r="B15" s="15">
        <v>34848613</v>
      </c>
      <c r="C15" s="15">
        <v>221327.05000000002</v>
      </c>
      <c r="D15" s="15">
        <f>IF(ISBLANK(B15),"",B15-C15-E15)</f>
        <v>32106953.200000003</v>
      </c>
      <c r="E15" s="15">
        <v>2520332.7500000005</v>
      </c>
      <c r="F15" s="16">
        <v>724</v>
      </c>
      <c r="G15" s="15">
        <f t="shared" si="1"/>
        <v>497.3032261247041</v>
      </c>
    </row>
    <row r="16" spans="1:7" ht="12.75">
      <c r="A16" s="22">
        <f t="shared" si="2"/>
        <v>44317</v>
      </c>
      <c r="B16" s="15">
        <v>36314461.11</v>
      </c>
      <c r="C16" s="15">
        <v>190717.56</v>
      </c>
      <c r="D16" s="15">
        <f>IF(ISBLANK(B16),"",B16-C16-E16)</f>
        <v>33642583.64</v>
      </c>
      <c r="E16" s="15">
        <v>2481159.91</v>
      </c>
      <c r="F16" s="16">
        <v>724</v>
      </c>
      <c r="G16" s="15">
        <f t="shared" si="1"/>
        <v>489.5737786108919</v>
      </c>
    </row>
    <row r="17" spans="1:7" ht="12.75">
      <c r="A17" s="22">
        <f t="shared" si="2"/>
        <v>44324</v>
      </c>
      <c r="B17" s="15">
        <v>35149577.73</v>
      </c>
      <c r="C17" s="15">
        <v>196408.98</v>
      </c>
      <c r="D17" s="15">
        <f aca="true" t="shared" si="3" ref="D17:D35">IF(ISBLANK(B17),"",B17-C17-E17)</f>
        <v>32493079.07</v>
      </c>
      <c r="E17" s="15">
        <v>2460089.68</v>
      </c>
      <c r="F17" s="16">
        <v>724</v>
      </c>
      <c r="G17" s="15">
        <f t="shared" si="1"/>
        <v>485.41627466456197</v>
      </c>
    </row>
    <row r="18" spans="1:7" ht="12.75">
      <c r="A18" s="22">
        <f t="shared" si="2"/>
        <v>44331</v>
      </c>
      <c r="B18" s="15">
        <v>33672469.49</v>
      </c>
      <c r="C18" s="15">
        <v>220608.36</v>
      </c>
      <c r="D18" s="15">
        <f t="shared" si="3"/>
        <v>31226774.94</v>
      </c>
      <c r="E18" s="15">
        <v>2225086.19</v>
      </c>
      <c r="F18" s="16">
        <v>724.43</v>
      </c>
      <c r="G18" s="15">
        <f t="shared" si="1"/>
        <v>438.78560484006147</v>
      </c>
    </row>
    <row r="19" spans="1:7" ht="12.75">
      <c r="A19" s="22">
        <f t="shared" si="2"/>
        <v>44338</v>
      </c>
      <c r="B19" s="15">
        <v>32530235.72</v>
      </c>
      <c r="C19" s="15">
        <v>216113.31</v>
      </c>
      <c r="D19" s="15">
        <f t="shared" si="3"/>
        <v>30008938.27</v>
      </c>
      <c r="E19" s="15">
        <v>2305184.14</v>
      </c>
      <c r="F19" s="16">
        <v>755</v>
      </c>
      <c r="G19" s="15">
        <f t="shared" si="1"/>
        <v>436.17486092715234</v>
      </c>
    </row>
    <row r="20" spans="1:7" ht="12.75">
      <c r="A20" s="22">
        <f t="shared" si="2"/>
        <v>44345</v>
      </c>
      <c r="B20" s="15">
        <v>34972287.27</v>
      </c>
      <c r="C20" s="15">
        <v>225076.68</v>
      </c>
      <c r="D20" s="15">
        <f t="shared" si="3"/>
        <v>32251496.67</v>
      </c>
      <c r="E20" s="15">
        <v>2495713.92</v>
      </c>
      <c r="F20" s="16">
        <v>819</v>
      </c>
      <c r="G20" s="15">
        <f t="shared" si="1"/>
        <v>435.32424908424906</v>
      </c>
    </row>
    <row r="21" spans="1:7" ht="12.75">
      <c r="A21" s="22">
        <f t="shared" si="2"/>
        <v>44352</v>
      </c>
      <c r="B21" s="15">
        <v>38923882.9</v>
      </c>
      <c r="C21" s="15">
        <v>239733.92</v>
      </c>
      <c r="D21" s="15">
        <f t="shared" si="3"/>
        <v>35916253.919999994</v>
      </c>
      <c r="E21" s="15">
        <v>2767895.06</v>
      </c>
      <c r="F21" s="16">
        <v>827</v>
      </c>
      <c r="G21" s="15">
        <f t="shared" si="1"/>
        <v>478.130084643289</v>
      </c>
    </row>
    <row r="22" spans="1:7" ht="12.75">
      <c r="A22" s="22">
        <f t="shared" si="2"/>
        <v>44359</v>
      </c>
      <c r="B22" s="15">
        <v>35835259.85</v>
      </c>
      <c r="C22" s="15">
        <v>228716.25</v>
      </c>
      <c r="D22" s="15">
        <f t="shared" si="3"/>
        <v>33274453.810000002</v>
      </c>
      <c r="E22" s="15">
        <v>2332089.7900000005</v>
      </c>
      <c r="F22" s="16">
        <v>827</v>
      </c>
      <c r="G22" s="15">
        <f t="shared" si="1"/>
        <v>402.8484695111419</v>
      </c>
    </row>
    <row r="23" spans="1:7" ht="12.75">
      <c r="A23" s="22">
        <f t="shared" si="2"/>
        <v>44366</v>
      </c>
      <c r="B23" s="15">
        <v>38929721.589999996</v>
      </c>
      <c r="C23" s="15">
        <v>241975.77</v>
      </c>
      <c r="D23" s="15">
        <f t="shared" si="3"/>
        <v>35964517.699999996</v>
      </c>
      <c r="E23" s="15">
        <v>2723228.1199999982</v>
      </c>
      <c r="F23" s="16">
        <v>960</v>
      </c>
      <c r="G23" s="15">
        <f t="shared" si="1"/>
        <v>405.2422797619045</v>
      </c>
    </row>
    <row r="24" spans="1:7" ht="12.75">
      <c r="A24" s="22">
        <f t="shared" si="2"/>
        <v>44373</v>
      </c>
      <c r="B24" s="15">
        <v>37488200.5</v>
      </c>
      <c r="C24" s="15">
        <v>183456.15</v>
      </c>
      <c r="D24" s="15">
        <f t="shared" si="3"/>
        <v>34588903.910000004</v>
      </c>
      <c r="E24" s="15">
        <v>2715840.44</v>
      </c>
      <c r="F24" s="16">
        <v>1291</v>
      </c>
      <c r="G24" s="15">
        <f t="shared" si="1"/>
        <v>300.52455903507797</v>
      </c>
    </row>
    <row r="25" spans="1:7" ht="12.75">
      <c r="A25" s="22">
        <f t="shared" si="2"/>
        <v>44380</v>
      </c>
      <c r="B25" s="15">
        <v>42720556.61000001</v>
      </c>
      <c r="C25" s="15">
        <v>254525.33</v>
      </c>
      <c r="D25" s="15">
        <f t="shared" si="3"/>
        <v>39591838.03000001</v>
      </c>
      <c r="E25" s="15">
        <v>2874193.2500000005</v>
      </c>
      <c r="F25" s="16">
        <v>1291</v>
      </c>
      <c r="G25" s="15">
        <f t="shared" si="1"/>
        <v>318.0472778576962</v>
      </c>
    </row>
    <row r="26" spans="1:7" ht="12.75">
      <c r="A26" s="22">
        <f t="shared" si="2"/>
        <v>44387</v>
      </c>
      <c r="B26" s="15">
        <v>41146031.45999999</v>
      </c>
      <c r="C26" s="15">
        <v>241683.51</v>
      </c>
      <c r="D26" s="15">
        <f t="shared" si="3"/>
        <v>37946287.91</v>
      </c>
      <c r="E26" s="15">
        <v>2958060.039999999</v>
      </c>
      <c r="F26" s="16">
        <v>1291</v>
      </c>
      <c r="G26" s="15">
        <f t="shared" si="1"/>
        <v>327.32765740843195</v>
      </c>
    </row>
    <row r="27" spans="1:7" ht="12.75">
      <c r="A27" s="22">
        <f t="shared" si="2"/>
        <v>44394</v>
      </c>
      <c r="B27" s="15">
        <v>42289590.71</v>
      </c>
      <c r="C27" s="15">
        <v>233749.90000000002</v>
      </c>
      <c r="D27" s="15">
        <f t="shared" si="3"/>
        <v>39141723.760000005</v>
      </c>
      <c r="E27" s="15">
        <v>2914117.0499999993</v>
      </c>
      <c r="F27" s="16">
        <v>1291</v>
      </c>
      <c r="G27" s="15">
        <f t="shared" si="1"/>
        <v>322.4650935044815</v>
      </c>
    </row>
    <row r="28" spans="1:7" ht="12.75">
      <c r="A28" s="22">
        <f t="shared" si="2"/>
        <v>44401</v>
      </c>
      <c r="B28" s="15">
        <v>42054336.3</v>
      </c>
      <c r="C28" s="15">
        <v>180191.14</v>
      </c>
      <c r="D28" s="15">
        <f t="shared" si="3"/>
        <v>38998313.62</v>
      </c>
      <c r="E28" s="15">
        <v>2875831.540000001</v>
      </c>
      <c r="F28" s="16">
        <v>1291</v>
      </c>
      <c r="G28" s="15">
        <f t="shared" si="1"/>
        <v>318.22856478920005</v>
      </c>
    </row>
    <row r="29" spans="1:7" ht="12.75">
      <c r="A29" s="22">
        <f t="shared" si="2"/>
        <v>44408</v>
      </c>
      <c r="B29" s="15">
        <v>44766940.27</v>
      </c>
      <c r="C29" s="15">
        <v>236028.12</v>
      </c>
      <c r="D29" s="15">
        <f t="shared" si="3"/>
        <v>41363975.17</v>
      </c>
      <c r="E29" s="15">
        <v>3166936.980000001</v>
      </c>
      <c r="F29" s="16">
        <v>1291</v>
      </c>
      <c r="G29" s="15">
        <f t="shared" si="1"/>
        <v>350.4411840212461</v>
      </c>
    </row>
    <row r="30" spans="1:7" ht="12.75">
      <c r="A30" s="22">
        <f t="shared" si="2"/>
        <v>44415</v>
      </c>
      <c r="B30" s="15">
        <v>43693486.45</v>
      </c>
      <c r="C30" s="15">
        <v>241426.34000000003</v>
      </c>
      <c r="D30" s="15">
        <f t="shared" si="3"/>
        <v>40423753.66</v>
      </c>
      <c r="E30" s="15">
        <v>3028306.45</v>
      </c>
      <c r="F30" s="16">
        <v>1291</v>
      </c>
      <c r="G30" s="15">
        <f t="shared" si="1"/>
        <v>335.10085758548195</v>
      </c>
    </row>
    <row r="31" spans="1:7" ht="12.75">
      <c r="A31" s="22">
        <f t="shared" si="2"/>
        <v>44422</v>
      </c>
      <c r="B31" s="15">
        <v>43774877.42999999</v>
      </c>
      <c r="C31" s="15">
        <v>237106.76</v>
      </c>
      <c r="D31" s="15">
        <f t="shared" si="3"/>
        <v>40661613.70999999</v>
      </c>
      <c r="E31" s="15">
        <v>2876156.9599999995</v>
      </c>
      <c r="F31" s="16">
        <v>1291</v>
      </c>
      <c r="G31" s="15">
        <f t="shared" si="1"/>
        <v>318.2645745269447</v>
      </c>
    </row>
    <row r="32" spans="1:7" ht="12.75">
      <c r="A32" s="22">
        <f t="shared" si="2"/>
        <v>44429</v>
      </c>
      <c r="B32" s="15">
        <v>45311657.42</v>
      </c>
      <c r="C32" s="15">
        <v>185085.71999999997</v>
      </c>
      <c r="D32" s="15">
        <f t="shared" si="3"/>
        <v>41989235.74</v>
      </c>
      <c r="E32" s="15">
        <v>3137335.9600000004</v>
      </c>
      <c r="F32" s="16">
        <v>1291</v>
      </c>
      <c r="G32" s="15">
        <f t="shared" si="1"/>
        <v>347.1656478919996</v>
      </c>
    </row>
    <row r="33" spans="1:7" ht="12.75">
      <c r="A33" s="22">
        <f t="shared" si="2"/>
        <v>44436</v>
      </c>
      <c r="B33" s="15">
        <v>39277923.29</v>
      </c>
      <c r="C33" s="15">
        <v>223850.58000000002</v>
      </c>
      <c r="D33" s="15">
        <f t="shared" si="3"/>
        <v>36298696.61</v>
      </c>
      <c r="E33" s="15">
        <v>2755376.0999999996</v>
      </c>
      <c r="F33" s="16">
        <v>1291</v>
      </c>
      <c r="G33" s="15">
        <f t="shared" si="1"/>
        <v>304.89942458780564</v>
      </c>
    </row>
    <row r="34" spans="1:7" ht="12.75">
      <c r="A34" s="22">
        <f t="shared" si="2"/>
        <v>44443</v>
      </c>
      <c r="B34" s="15">
        <v>43121057.760000005</v>
      </c>
      <c r="C34" s="15">
        <v>281649.24</v>
      </c>
      <c r="D34" s="15">
        <f t="shared" si="3"/>
        <v>39719761.31</v>
      </c>
      <c r="E34" s="15">
        <v>3119647.21</v>
      </c>
      <c r="F34" s="16">
        <v>1291</v>
      </c>
      <c r="G34" s="15">
        <f t="shared" si="1"/>
        <v>345.2082781896647</v>
      </c>
    </row>
    <row r="35" spans="1:7" ht="12.75">
      <c r="A35" s="22">
        <f t="shared" si="2"/>
        <v>44450</v>
      </c>
      <c r="B35" s="15">
        <v>41507843.26</v>
      </c>
      <c r="C35" s="15">
        <v>263655.85</v>
      </c>
      <c r="D35" s="15">
        <f t="shared" si="3"/>
        <v>38220794.699999996</v>
      </c>
      <c r="E35" s="15">
        <v>3023392.7100000014</v>
      </c>
      <c r="F35" s="16">
        <v>1291</v>
      </c>
      <c r="G35" s="15">
        <f t="shared" si="1"/>
        <v>334.5571218324667</v>
      </c>
    </row>
    <row r="36" spans="1:7" ht="12.75">
      <c r="A36" s="22">
        <f t="shared" si="2"/>
        <v>44457</v>
      </c>
      <c r="B36" s="15">
        <v>37470882.48</v>
      </c>
      <c r="C36" s="15">
        <v>230822.75</v>
      </c>
      <c r="D36" s="15">
        <f t="shared" si="0"/>
        <v>34538035.33</v>
      </c>
      <c r="E36" s="15">
        <v>2702024.3999999994</v>
      </c>
      <c r="F36" s="16">
        <v>1291</v>
      </c>
      <c r="G36" s="15">
        <f>IF(ISBLANK(B36),"",E36/F36/7)</f>
        <v>298.9957286710191</v>
      </c>
    </row>
    <row r="37" spans="1:7" ht="12.75">
      <c r="A37" s="22">
        <f t="shared" si="2"/>
        <v>44464</v>
      </c>
      <c r="B37" s="18">
        <v>35790582.1</v>
      </c>
      <c r="C37" s="18">
        <v>163428.90000000002</v>
      </c>
      <c r="D37" s="18">
        <f t="shared" si="0"/>
        <v>33137895.580000006</v>
      </c>
      <c r="E37" s="18">
        <v>2489257.6199999987</v>
      </c>
      <c r="F37" s="35">
        <v>1291</v>
      </c>
      <c r="G37" s="18">
        <f aca="true" t="shared" si="4" ref="G37:G63">IF(ISBLANK(B37),"",E37/F37/7)</f>
        <v>275.4517671793736</v>
      </c>
    </row>
    <row r="38" spans="1:7" ht="12.75">
      <c r="A38" s="22">
        <f t="shared" si="2"/>
        <v>44471</v>
      </c>
      <c r="B38" s="18">
        <v>37822871.74</v>
      </c>
      <c r="C38" s="18">
        <v>234726.1</v>
      </c>
      <c r="D38" s="18">
        <f t="shared" si="0"/>
        <v>34983379.88</v>
      </c>
      <c r="E38" s="18">
        <v>2604765.7600000007</v>
      </c>
      <c r="F38" s="35">
        <v>1291</v>
      </c>
      <c r="G38" s="18">
        <f t="shared" si="4"/>
        <v>288.2334580059755</v>
      </c>
    </row>
    <row r="39" spans="1:7" ht="12.75">
      <c r="A39" s="22">
        <f t="shared" si="2"/>
        <v>44478</v>
      </c>
      <c r="B39" s="36">
        <v>36694959.76</v>
      </c>
      <c r="C39" s="36">
        <v>229853.79</v>
      </c>
      <c r="D39" s="18">
        <f t="shared" si="0"/>
        <v>34038091.65</v>
      </c>
      <c r="E39" s="36">
        <v>2427014.3199999994</v>
      </c>
      <c r="F39" s="35">
        <v>1291</v>
      </c>
      <c r="G39" s="18">
        <f t="shared" si="4"/>
        <v>268.56416067278957</v>
      </c>
    </row>
    <row r="40" spans="1:7" ht="12.75">
      <c r="A40" s="22">
        <f t="shared" si="2"/>
        <v>44485</v>
      </c>
      <c r="B40" s="18">
        <v>37711810.489999995</v>
      </c>
      <c r="C40" s="18">
        <v>250784.85000000003</v>
      </c>
      <c r="D40" s="18">
        <f t="shared" si="0"/>
        <v>34978250.87999999</v>
      </c>
      <c r="E40" s="18">
        <v>2482774.760000002</v>
      </c>
      <c r="F40" s="35">
        <v>1291</v>
      </c>
      <c r="G40" s="18">
        <f t="shared" si="4"/>
        <v>274.734398583601</v>
      </c>
    </row>
    <row r="41" spans="1:7" ht="12.75">
      <c r="A41" s="22">
        <f t="shared" si="2"/>
        <v>44492</v>
      </c>
      <c r="B41" s="18">
        <v>37477030.46</v>
      </c>
      <c r="C41" s="18">
        <v>192171.87000000002</v>
      </c>
      <c r="D41" s="18">
        <f t="shared" si="0"/>
        <v>34636904.650000006</v>
      </c>
      <c r="E41" s="18">
        <v>2647953.939999999</v>
      </c>
      <c r="F41" s="35">
        <v>1291</v>
      </c>
      <c r="G41" s="18">
        <f t="shared" si="4"/>
        <v>293.0124975102356</v>
      </c>
    </row>
    <row r="42" spans="1:7" ht="12.75">
      <c r="A42" s="22">
        <f t="shared" si="2"/>
        <v>44499</v>
      </c>
      <c r="B42" s="15">
        <v>37075484.29</v>
      </c>
      <c r="C42" s="15">
        <v>233356.51</v>
      </c>
      <c r="D42" s="15">
        <f t="shared" si="0"/>
        <v>34244849.31</v>
      </c>
      <c r="E42" s="15">
        <v>2597278.47</v>
      </c>
      <c r="F42" s="16">
        <v>1292</v>
      </c>
      <c r="G42" s="15">
        <f t="shared" si="4"/>
        <v>287.18249336576736</v>
      </c>
    </row>
    <row r="43" spans="1:7" ht="12.75">
      <c r="A43" s="22">
        <f t="shared" si="2"/>
        <v>44506</v>
      </c>
      <c r="B43" s="15">
        <v>35096898.32</v>
      </c>
      <c r="C43" s="15">
        <v>223436.15</v>
      </c>
      <c r="D43" s="15">
        <f t="shared" si="0"/>
        <v>32351230.57</v>
      </c>
      <c r="E43" s="15">
        <v>2522231.5999999996</v>
      </c>
      <c r="F43" s="16">
        <v>1293</v>
      </c>
      <c r="G43" s="15">
        <f t="shared" si="4"/>
        <v>278.6688321732405</v>
      </c>
    </row>
    <row r="44" spans="1:7" ht="12.75">
      <c r="A44" s="22">
        <f t="shared" si="2"/>
        <v>44513</v>
      </c>
      <c r="B44" s="15">
        <v>38117878.379999995</v>
      </c>
      <c r="C44" s="15">
        <v>251398.21</v>
      </c>
      <c r="D44" s="15">
        <f t="shared" si="0"/>
        <v>35243698.839999996</v>
      </c>
      <c r="E44" s="15">
        <v>2622781.3299999996</v>
      </c>
      <c r="F44" s="16">
        <v>1293</v>
      </c>
      <c r="G44" s="15">
        <f t="shared" si="4"/>
        <v>289.77807203623905</v>
      </c>
    </row>
    <row r="45" spans="1:7" ht="12.75">
      <c r="A45" s="22">
        <f t="shared" si="2"/>
        <v>44520</v>
      </c>
      <c r="B45" s="15">
        <v>35483247.339999996</v>
      </c>
      <c r="C45" s="15">
        <v>226986.84</v>
      </c>
      <c r="D45" s="15">
        <f t="shared" si="0"/>
        <v>32827022.12999999</v>
      </c>
      <c r="E45" s="15">
        <v>2429238.37</v>
      </c>
      <c r="F45" s="16">
        <v>1293</v>
      </c>
      <c r="G45" s="15">
        <f t="shared" si="4"/>
        <v>268.3944724339852</v>
      </c>
    </row>
    <row r="46" spans="1:7" ht="12.75">
      <c r="A46" s="22">
        <f t="shared" si="2"/>
        <v>44527</v>
      </c>
      <c r="B46" s="15">
        <v>32067743.650000002</v>
      </c>
      <c r="C46" s="15">
        <v>160854.85000000003</v>
      </c>
      <c r="D46" s="15">
        <f t="shared" si="0"/>
        <v>29655921.450000003</v>
      </c>
      <c r="E46" s="15">
        <v>2250967.349999999</v>
      </c>
      <c r="F46" s="16">
        <v>1293</v>
      </c>
      <c r="G46" s="15">
        <f t="shared" si="4"/>
        <v>248.69819356977118</v>
      </c>
    </row>
    <row r="47" spans="1:7" ht="12.75">
      <c r="A47" s="22">
        <f t="shared" si="2"/>
        <v>44534</v>
      </c>
      <c r="B47" s="15">
        <v>31815132.989999995</v>
      </c>
      <c r="C47" s="15">
        <v>204512.5</v>
      </c>
      <c r="D47" s="15">
        <f t="shared" si="0"/>
        <v>29661663.479999997</v>
      </c>
      <c r="E47" s="15">
        <v>1948957.0099999993</v>
      </c>
      <c r="F47" s="16">
        <v>1293</v>
      </c>
      <c r="G47" s="15">
        <f t="shared" si="4"/>
        <v>215.33057231245158</v>
      </c>
    </row>
    <row r="48" spans="1:7" ht="12.75">
      <c r="A48" s="22">
        <f t="shared" si="2"/>
        <v>44541</v>
      </c>
      <c r="B48" s="15">
        <v>34323361.5</v>
      </c>
      <c r="C48" s="15">
        <v>190636.41000000003</v>
      </c>
      <c r="D48" s="15">
        <f t="shared" si="0"/>
        <v>31755171.85</v>
      </c>
      <c r="E48" s="15">
        <v>2377553.24</v>
      </c>
      <c r="F48" s="16">
        <v>1293</v>
      </c>
      <c r="G48" s="15">
        <f t="shared" si="4"/>
        <v>262.68403933267047</v>
      </c>
    </row>
    <row r="49" spans="1:7" ht="12.75">
      <c r="A49" s="22">
        <f t="shared" si="2"/>
        <v>44548</v>
      </c>
      <c r="B49" s="15">
        <v>27786648.68</v>
      </c>
      <c r="C49" s="15">
        <v>186677.27</v>
      </c>
      <c r="D49" s="15">
        <f t="shared" si="0"/>
        <v>25570303.14</v>
      </c>
      <c r="E49" s="15">
        <v>2029668.2700000005</v>
      </c>
      <c r="F49" s="16">
        <v>1293</v>
      </c>
      <c r="G49" s="15">
        <f t="shared" si="4"/>
        <v>224.247958236659</v>
      </c>
    </row>
    <row r="50" spans="1:7" ht="12.75">
      <c r="A50" s="22">
        <f t="shared" si="2"/>
        <v>44555</v>
      </c>
      <c r="B50" s="15">
        <v>26633322.37</v>
      </c>
      <c r="C50" s="15">
        <v>165005.78</v>
      </c>
      <c r="D50" s="15">
        <f t="shared" si="0"/>
        <v>24605896.97</v>
      </c>
      <c r="E50" s="15">
        <v>1862419.6199999999</v>
      </c>
      <c r="F50" s="16">
        <v>1293</v>
      </c>
      <c r="G50" s="15">
        <f t="shared" si="4"/>
        <v>205.76948624461383</v>
      </c>
    </row>
    <row r="51" spans="1:7" ht="12.75">
      <c r="A51" s="22">
        <f t="shared" si="2"/>
        <v>44562</v>
      </c>
      <c r="B51" s="15">
        <v>44544527.3</v>
      </c>
      <c r="C51" s="15">
        <v>281305.1</v>
      </c>
      <c r="D51" s="15">
        <f t="shared" si="0"/>
        <v>41194897.739999995</v>
      </c>
      <c r="E51" s="15">
        <v>3068324.4600000004</v>
      </c>
      <c r="F51" s="16">
        <v>1293</v>
      </c>
      <c r="G51" s="15">
        <f t="shared" si="4"/>
        <v>339.00391779913826</v>
      </c>
    </row>
    <row r="52" spans="1:7" ht="12.75">
      <c r="A52" s="22">
        <f t="shared" si="2"/>
        <v>44569</v>
      </c>
      <c r="B52" s="15">
        <v>29986837.74</v>
      </c>
      <c r="C52" s="15">
        <v>204920.56999999998</v>
      </c>
      <c r="D52" s="15">
        <f t="shared" si="0"/>
        <v>27741552.98</v>
      </c>
      <c r="E52" s="15">
        <v>2040364.189999999</v>
      </c>
      <c r="F52" s="16">
        <v>1293</v>
      </c>
      <c r="G52" s="15">
        <f t="shared" si="4"/>
        <v>225.42969727101968</v>
      </c>
    </row>
    <row r="53" spans="1:7" ht="12.75">
      <c r="A53" s="22">
        <f t="shared" si="2"/>
        <v>44576</v>
      </c>
      <c r="B53" s="15">
        <v>26258810.750000004</v>
      </c>
      <c r="C53" s="15">
        <v>176092.02000000002</v>
      </c>
      <c r="D53" s="15">
        <f t="shared" si="0"/>
        <v>24266542.620000005</v>
      </c>
      <c r="E53" s="15">
        <v>1816176.1099999996</v>
      </c>
      <c r="F53" s="16">
        <v>1293</v>
      </c>
      <c r="G53" s="15">
        <f t="shared" si="4"/>
        <v>200.66027068832167</v>
      </c>
    </row>
    <row r="54" spans="1:7" ht="12.75">
      <c r="A54" s="22">
        <f t="shared" si="2"/>
        <v>44583</v>
      </c>
      <c r="B54" s="15">
        <v>30508034.64</v>
      </c>
      <c r="C54" s="15">
        <v>173190.52000000002</v>
      </c>
      <c r="D54" s="15">
        <f t="shared" si="0"/>
        <v>28325808.64</v>
      </c>
      <c r="E54" s="15">
        <v>2009035.4800000002</v>
      </c>
      <c r="F54" s="16">
        <v>1293</v>
      </c>
      <c r="G54" s="15">
        <f t="shared" si="4"/>
        <v>221.96834382941114</v>
      </c>
    </row>
    <row r="55" spans="1:7" ht="12.75">
      <c r="A55" s="22">
        <f t="shared" si="2"/>
        <v>44590</v>
      </c>
      <c r="B55" s="15">
        <v>30384769.72</v>
      </c>
      <c r="C55" s="15">
        <v>205502.56000000003</v>
      </c>
      <c r="D55" s="15">
        <f t="shared" si="0"/>
        <v>28123352.91</v>
      </c>
      <c r="E55" s="15">
        <v>2055914.25</v>
      </c>
      <c r="F55" s="16">
        <v>1293</v>
      </c>
      <c r="G55" s="15">
        <f t="shared" si="4"/>
        <v>227.14774610540272</v>
      </c>
    </row>
    <row r="56" spans="1:7" ht="12.75">
      <c r="A56" s="22">
        <f t="shared" si="2"/>
        <v>44597</v>
      </c>
      <c r="B56" s="15">
        <v>29693769.569999997</v>
      </c>
      <c r="C56" s="15">
        <v>207352.83000000002</v>
      </c>
      <c r="D56" s="15">
        <f t="shared" si="0"/>
        <v>27371475.36</v>
      </c>
      <c r="E56" s="15">
        <v>2114941.38</v>
      </c>
      <c r="F56" s="16">
        <v>1293</v>
      </c>
      <c r="G56" s="15">
        <f t="shared" si="4"/>
        <v>233.66936029168048</v>
      </c>
    </row>
    <row r="57" spans="1:7" ht="12.75">
      <c r="A57" s="22">
        <f t="shared" si="2"/>
        <v>44604</v>
      </c>
      <c r="B57" s="15">
        <v>38541341.14</v>
      </c>
      <c r="C57" s="15">
        <v>267396.63</v>
      </c>
      <c r="D57" s="15">
        <f t="shared" si="0"/>
        <v>35536151.699999996</v>
      </c>
      <c r="E57" s="15">
        <v>2737792.8100000005</v>
      </c>
      <c r="F57" s="16">
        <v>1293</v>
      </c>
      <c r="G57" s="15">
        <f t="shared" si="4"/>
        <v>302.4851187714065</v>
      </c>
    </row>
    <row r="58" spans="1:7" ht="12.75">
      <c r="A58" s="22">
        <f t="shared" si="2"/>
        <v>44611</v>
      </c>
      <c r="B58" s="15">
        <v>35615971.43</v>
      </c>
      <c r="C58" s="15">
        <v>224249.09000000003</v>
      </c>
      <c r="D58" s="15">
        <f t="shared" si="0"/>
        <v>33235913.56</v>
      </c>
      <c r="E58" s="15">
        <v>2155808.779999999</v>
      </c>
      <c r="F58" s="16">
        <v>1293</v>
      </c>
      <c r="G58" s="15">
        <f t="shared" si="4"/>
        <v>238.18459617721786</v>
      </c>
    </row>
    <row r="59" spans="1:7" ht="12.75">
      <c r="A59" s="22">
        <f t="shared" si="2"/>
        <v>44618</v>
      </c>
      <c r="B59" s="15">
        <v>41543966.18</v>
      </c>
      <c r="C59" s="15">
        <v>210624.77000000002</v>
      </c>
      <c r="D59" s="15">
        <f t="shared" si="0"/>
        <v>38524541.94</v>
      </c>
      <c r="E59" s="15">
        <v>2808799.4700000007</v>
      </c>
      <c r="F59" s="16">
        <v>1293</v>
      </c>
      <c r="G59" s="15">
        <f t="shared" si="4"/>
        <v>310.3302916804774</v>
      </c>
    </row>
    <row r="60" spans="1:7" ht="12.75">
      <c r="A60" s="22">
        <f t="shared" si="2"/>
        <v>44625</v>
      </c>
      <c r="B60" s="15">
        <v>42021534.919999994</v>
      </c>
      <c r="C60" s="15">
        <v>287007.04</v>
      </c>
      <c r="D60" s="15">
        <f t="shared" si="0"/>
        <v>38731538.58</v>
      </c>
      <c r="E60" s="15">
        <v>3002989.299999999</v>
      </c>
      <c r="F60" s="16">
        <v>1293</v>
      </c>
      <c r="G60" s="15">
        <f t="shared" si="4"/>
        <v>331.7853607336205</v>
      </c>
    </row>
    <row r="61" spans="1:7" ht="12.75">
      <c r="A61" s="22">
        <f t="shared" si="2"/>
        <v>44632</v>
      </c>
      <c r="B61" s="15">
        <v>35449961.53999999</v>
      </c>
      <c r="C61" s="15">
        <v>224575.39</v>
      </c>
      <c r="D61" s="15">
        <f t="shared" si="0"/>
        <v>32941462.44999999</v>
      </c>
      <c r="E61" s="15">
        <v>2283923.6999999997</v>
      </c>
      <c r="F61" s="16">
        <v>1293</v>
      </c>
      <c r="G61" s="15">
        <f t="shared" si="4"/>
        <v>252.33937686443483</v>
      </c>
    </row>
    <row r="62" spans="1:7" ht="12.75">
      <c r="A62" s="22">
        <f t="shared" si="2"/>
        <v>44639</v>
      </c>
      <c r="B62" s="15">
        <v>42582754.63999999</v>
      </c>
      <c r="C62" s="15">
        <v>212430.86000000004</v>
      </c>
      <c r="D62" s="15">
        <f t="shared" si="0"/>
        <v>39364197.49999999</v>
      </c>
      <c r="E62" s="15">
        <v>3006126.2800000003</v>
      </c>
      <c r="F62" s="16">
        <v>1292</v>
      </c>
      <c r="G62" s="15">
        <f t="shared" si="4"/>
        <v>332.3890181335692</v>
      </c>
    </row>
    <row r="63" spans="1:7" ht="12.75">
      <c r="A63" s="22">
        <f t="shared" si="2"/>
        <v>44646</v>
      </c>
      <c r="B63" s="15">
        <v>40536039.99</v>
      </c>
      <c r="C63" s="15">
        <v>266270.42000000004</v>
      </c>
      <c r="D63" s="15">
        <f t="shared" si="0"/>
        <v>37562330.67</v>
      </c>
      <c r="E63" s="15">
        <v>2707438.8999999985</v>
      </c>
      <c r="F63" s="16">
        <v>1294</v>
      </c>
      <c r="G63" s="15">
        <f t="shared" si="4"/>
        <v>298.90029807904597</v>
      </c>
    </row>
    <row r="64" ht="12.75">
      <c r="A64" s="22"/>
    </row>
    <row r="65" spans="1:7" ht="13.5" thickBot="1">
      <c r="A65" s="3" t="s">
        <v>8</v>
      </c>
      <c r="B65" s="17">
        <f>IF(SUM(B12:B64)=0,"",SUM(B12:B64))</f>
        <v>1925953231.1100004</v>
      </c>
      <c r="C65" s="17">
        <f>IF(SUM(C12:C64)=0,"",SUM(C12:C64))</f>
        <v>11462870.529999997</v>
      </c>
      <c r="D65" s="17">
        <f>IF(SUM(D12:D64)=0,"",SUM(D12:D64))</f>
        <v>1781438826.8700001</v>
      </c>
      <c r="E65" s="17">
        <f>IF(SUM(E12:E64)=0,"",SUM(E12:E64))</f>
        <v>133051533.71000001</v>
      </c>
      <c r="F65" s="24">
        <f>_xlfn.IFERROR(SUM(F12:F64)/COUNT(F12:F64)," ")</f>
        <v>1171.5467307692309</v>
      </c>
      <c r="G65" s="17">
        <f>_xlfn.IFERROR(E65/SUM(F12:F64)/7," ")</f>
        <v>312.0030826862422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70" sqref="A70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38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43918</v>
      </c>
      <c r="B12" s="15">
        <v>0</v>
      </c>
      <c r="C12" s="15">
        <v>0</v>
      </c>
      <c r="D12" s="15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.75">
      <c r="A13" s="22">
        <f aca="true" t="shared" si="1" ref="A13:A64">+A12+7</f>
        <v>43925</v>
      </c>
      <c r="B13" s="15">
        <v>0</v>
      </c>
      <c r="C13" s="15">
        <v>0</v>
      </c>
      <c r="D13" s="15">
        <f>IF(ISBLANK(B13),"",B13-C13-E13)</f>
        <v>0</v>
      </c>
      <c r="E13" s="15">
        <v>0</v>
      </c>
      <c r="F13" s="16">
        <v>0</v>
      </c>
      <c r="G13" s="15">
        <v>0</v>
      </c>
    </row>
    <row r="14" spans="1:7" ht="12.75">
      <c r="A14" s="22">
        <f t="shared" si="1"/>
        <v>43932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6">
        <v>0</v>
      </c>
      <c r="G14" s="15">
        <v>0</v>
      </c>
    </row>
    <row r="15" spans="1:7" ht="12.75">
      <c r="A15" s="22">
        <f t="shared" si="1"/>
        <v>43939</v>
      </c>
      <c r="B15" s="15">
        <v>0</v>
      </c>
      <c r="C15" s="15">
        <v>0</v>
      </c>
      <c r="D15" s="15">
        <f>IF(ISBLANK(B15),"",B15-C15-E15)</f>
        <v>0</v>
      </c>
      <c r="E15" s="15">
        <v>0</v>
      </c>
      <c r="F15" s="16">
        <v>0</v>
      </c>
      <c r="G15" s="15">
        <v>0</v>
      </c>
    </row>
    <row r="16" spans="1:7" ht="12.75">
      <c r="A16" s="22">
        <f t="shared" si="1"/>
        <v>43946</v>
      </c>
      <c r="B16" s="15">
        <v>0</v>
      </c>
      <c r="C16" s="15">
        <v>0</v>
      </c>
      <c r="D16" s="15">
        <f>IF(ISBLANK(B16),"",B16-C16-E16)</f>
        <v>0</v>
      </c>
      <c r="E16" s="15">
        <v>0</v>
      </c>
      <c r="F16" s="16">
        <v>0</v>
      </c>
      <c r="G16" s="15">
        <v>0</v>
      </c>
    </row>
    <row r="17" spans="1:7" ht="12.75">
      <c r="A17" s="22">
        <f t="shared" si="1"/>
        <v>43953</v>
      </c>
      <c r="B17" s="15">
        <v>0</v>
      </c>
      <c r="C17" s="15">
        <v>0</v>
      </c>
      <c r="D17" s="15">
        <f aca="true" t="shared" si="2" ref="D17:D35">IF(ISBLANK(B17),"",B17-C17-E17)</f>
        <v>0</v>
      </c>
      <c r="E17" s="15">
        <v>0</v>
      </c>
      <c r="F17" s="16">
        <v>0</v>
      </c>
      <c r="G17" s="15">
        <v>0</v>
      </c>
    </row>
    <row r="18" spans="1:7" ht="12.75">
      <c r="A18" s="22">
        <f t="shared" si="1"/>
        <v>43960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6">
        <v>0</v>
      </c>
      <c r="G18" s="15">
        <v>0</v>
      </c>
    </row>
    <row r="19" spans="1:7" ht="12.75">
      <c r="A19" s="22">
        <f t="shared" si="1"/>
        <v>43967</v>
      </c>
      <c r="B19" s="15">
        <v>0</v>
      </c>
      <c r="C19" s="15">
        <v>0</v>
      </c>
      <c r="D19" s="15">
        <f t="shared" si="2"/>
        <v>0</v>
      </c>
      <c r="E19" s="15">
        <v>0</v>
      </c>
      <c r="F19" s="16">
        <v>0</v>
      </c>
      <c r="G19" s="15">
        <v>0</v>
      </c>
    </row>
    <row r="20" spans="1:7" ht="12.75">
      <c r="A20" s="22">
        <f t="shared" si="1"/>
        <v>43974</v>
      </c>
      <c r="B20" s="15">
        <v>0</v>
      </c>
      <c r="C20" s="15">
        <v>0</v>
      </c>
      <c r="D20" s="15">
        <f t="shared" si="2"/>
        <v>0</v>
      </c>
      <c r="E20" s="15">
        <v>0</v>
      </c>
      <c r="F20" s="16">
        <v>0</v>
      </c>
      <c r="G20" s="15">
        <v>0</v>
      </c>
    </row>
    <row r="21" spans="1:7" ht="12.75">
      <c r="A21" s="22">
        <f t="shared" si="1"/>
        <v>43981</v>
      </c>
      <c r="B21" s="15">
        <v>0</v>
      </c>
      <c r="C21" s="15">
        <v>0</v>
      </c>
      <c r="D21" s="15">
        <f t="shared" si="2"/>
        <v>0</v>
      </c>
      <c r="E21" s="15">
        <v>0</v>
      </c>
      <c r="F21" s="16">
        <v>0</v>
      </c>
      <c r="G21" s="15">
        <v>0</v>
      </c>
    </row>
    <row r="22" spans="1:7" ht="12.75">
      <c r="A22" s="22">
        <f t="shared" si="1"/>
        <v>43988</v>
      </c>
      <c r="B22" s="15">
        <v>0</v>
      </c>
      <c r="C22" s="15">
        <v>0</v>
      </c>
      <c r="D22" s="15">
        <f t="shared" si="2"/>
        <v>0</v>
      </c>
      <c r="E22" s="15">
        <v>0</v>
      </c>
      <c r="F22" s="16">
        <v>0</v>
      </c>
      <c r="G22" s="15">
        <v>0</v>
      </c>
    </row>
    <row r="23" spans="1:7" ht="12.75">
      <c r="A23" s="22">
        <f t="shared" si="1"/>
        <v>43995</v>
      </c>
      <c r="B23" s="15">
        <v>0</v>
      </c>
      <c r="C23" s="15">
        <v>0</v>
      </c>
      <c r="D23" s="15">
        <f t="shared" si="2"/>
        <v>0</v>
      </c>
      <c r="E23" s="15">
        <v>0</v>
      </c>
      <c r="F23" s="16">
        <v>0</v>
      </c>
      <c r="G23" s="15">
        <v>0</v>
      </c>
    </row>
    <row r="24" spans="1:7" ht="12.75">
      <c r="A24" s="22">
        <f t="shared" si="1"/>
        <v>44002</v>
      </c>
      <c r="B24" s="15">
        <v>0</v>
      </c>
      <c r="C24" s="15">
        <v>0</v>
      </c>
      <c r="D24" s="15">
        <f t="shared" si="2"/>
        <v>0</v>
      </c>
      <c r="E24" s="15">
        <v>0</v>
      </c>
      <c r="F24" s="16">
        <v>0</v>
      </c>
      <c r="G24" s="15">
        <v>0</v>
      </c>
    </row>
    <row r="25" spans="1:7" ht="12.75">
      <c r="A25" s="22">
        <f t="shared" si="1"/>
        <v>44009</v>
      </c>
      <c r="B25" s="15">
        <v>0</v>
      </c>
      <c r="C25" s="15">
        <v>0</v>
      </c>
      <c r="D25" s="15">
        <f t="shared" si="2"/>
        <v>0</v>
      </c>
      <c r="E25" s="15">
        <v>0</v>
      </c>
      <c r="F25" s="16">
        <v>0</v>
      </c>
      <c r="G25" s="15">
        <v>0</v>
      </c>
    </row>
    <row r="26" spans="1:7" ht="12.75">
      <c r="A26" s="22">
        <f t="shared" si="1"/>
        <v>44016</v>
      </c>
      <c r="B26" s="15">
        <v>0</v>
      </c>
      <c r="C26" s="15">
        <v>0</v>
      </c>
      <c r="D26" s="15">
        <f t="shared" si="2"/>
        <v>0</v>
      </c>
      <c r="E26" s="15">
        <v>0</v>
      </c>
      <c r="F26" s="16">
        <v>0</v>
      </c>
      <c r="G26" s="15">
        <v>0</v>
      </c>
    </row>
    <row r="27" spans="1:7" ht="12.75">
      <c r="A27" s="22">
        <f t="shared" si="1"/>
        <v>44023</v>
      </c>
      <c r="B27" s="15">
        <v>0</v>
      </c>
      <c r="C27" s="15">
        <v>0</v>
      </c>
      <c r="D27" s="15">
        <f t="shared" si="2"/>
        <v>0</v>
      </c>
      <c r="E27" s="15">
        <v>0</v>
      </c>
      <c r="F27" s="16">
        <v>0</v>
      </c>
      <c r="G27" s="15">
        <v>0</v>
      </c>
    </row>
    <row r="28" spans="1:7" ht="12.75">
      <c r="A28" s="22">
        <f t="shared" si="1"/>
        <v>44030</v>
      </c>
      <c r="B28" s="15">
        <v>0</v>
      </c>
      <c r="C28" s="15">
        <v>0</v>
      </c>
      <c r="D28" s="15">
        <f t="shared" si="2"/>
        <v>0</v>
      </c>
      <c r="E28" s="15">
        <v>0</v>
      </c>
      <c r="F28" s="16">
        <v>0</v>
      </c>
      <c r="G28" s="15">
        <v>0</v>
      </c>
    </row>
    <row r="29" spans="1:7" ht="12.75">
      <c r="A29" s="22">
        <f t="shared" si="1"/>
        <v>44037</v>
      </c>
      <c r="B29" s="15">
        <v>0</v>
      </c>
      <c r="C29" s="15">
        <v>0</v>
      </c>
      <c r="D29" s="15">
        <f t="shared" si="2"/>
        <v>0</v>
      </c>
      <c r="E29" s="15">
        <v>0</v>
      </c>
      <c r="F29" s="16">
        <v>0</v>
      </c>
      <c r="G29" s="15">
        <v>0</v>
      </c>
    </row>
    <row r="30" spans="1:7" ht="12.75">
      <c r="A30" s="22">
        <f t="shared" si="1"/>
        <v>44044</v>
      </c>
      <c r="B30" s="15">
        <v>0</v>
      </c>
      <c r="C30" s="15">
        <v>0</v>
      </c>
      <c r="D30" s="15">
        <f t="shared" si="2"/>
        <v>0</v>
      </c>
      <c r="E30" s="15">
        <v>0</v>
      </c>
      <c r="F30" s="16">
        <v>0</v>
      </c>
      <c r="G30" s="15">
        <v>0</v>
      </c>
    </row>
    <row r="31" spans="1:7" ht="12.75">
      <c r="A31" s="22">
        <f t="shared" si="1"/>
        <v>44051</v>
      </c>
      <c r="B31" s="15">
        <v>0</v>
      </c>
      <c r="C31" s="15">
        <v>0</v>
      </c>
      <c r="D31" s="15">
        <f t="shared" si="2"/>
        <v>0</v>
      </c>
      <c r="E31" s="15">
        <v>0</v>
      </c>
      <c r="F31" s="16">
        <v>0</v>
      </c>
      <c r="G31" s="15">
        <v>0</v>
      </c>
    </row>
    <row r="32" spans="1:7" ht="12.75">
      <c r="A32" s="22">
        <f t="shared" si="1"/>
        <v>44058</v>
      </c>
      <c r="B32" s="15">
        <v>0</v>
      </c>
      <c r="C32" s="15">
        <v>0</v>
      </c>
      <c r="D32" s="15">
        <f t="shared" si="2"/>
        <v>0</v>
      </c>
      <c r="E32" s="15">
        <v>0</v>
      </c>
      <c r="F32" s="16">
        <v>0</v>
      </c>
      <c r="G32" s="15">
        <v>0</v>
      </c>
    </row>
    <row r="33" spans="1:7" ht="12.75">
      <c r="A33" s="22">
        <f t="shared" si="1"/>
        <v>44065</v>
      </c>
      <c r="B33" s="15">
        <v>0</v>
      </c>
      <c r="C33" s="15">
        <v>0</v>
      </c>
      <c r="D33" s="15">
        <f t="shared" si="2"/>
        <v>0</v>
      </c>
      <c r="E33" s="15">
        <v>0</v>
      </c>
      <c r="F33" s="16">
        <v>0</v>
      </c>
      <c r="G33" s="15">
        <v>0</v>
      </c>
    </row>
    <row r="34" spans="1:7" ht="12.75">
      <c r="A34" s="22">
        <f t="shared" si="1"/>
        <v>44072</v>
      </c>
      <c r="B34" s="15">
        <v>0</v>
      </c>
      <c r="C34" s="15">
        <v>0</v>
      </c>
      <c r="D34" s="15">
        <f t="shared" si="2"/>
        <v>0</v>
      </c>
      <c r="E34" s="15">
        <v>0</v>
      </c>
      <c r="F34" s="16">
        <v>0</v>
      </c>
      <c r="G34" s="15">
        <v>0</v>
      </c>
    </row>
    <row r="35" spans="1:7" ht="12.75">
      <c r="A35" s="22">
        <f t="shared" si="1"/>
        <v>44079</v>
      </c>
      <c r="B35" s="15">
        <v>0</v>
      </c>
      <c r="C35" s="15">
        <v>0</v>
      </c>
      <c r="D35" s="15">
        <f t="shared" si="2"/>
        <v>0</v>
      </c>
      <c r="E35" s="15">
        <v>0</v>
      </c>
      <c r="F35" s="16">
        <v>0</v>
      </c>
      <c r="G35" s="15">
        <v>0</v>
      </c>
    </row>
    <row r="36" spans="1:7" ht="12.75">
      <c r="A36" s="22">
        <f t="shared" si="1"/>
        <v>44086</v>
      </c>
      <c r="B36" s="15">
        <v>14575698.65</v>
      </c>
      <c r="C36" s="15">
        <v>1569.4499999999998</v>
      </c>
      <c r="D36" s="15">
        <f t="shared" si="0"/>
        <v>13517449.280000001</v>
      </c>
      <c r="E36" s="15">
        <v>1056679.92</v>
      </c>
      <c r="F36" s="16">
        <v>461</v>
      </c>
      <c r="G36" s="15">
        <f>IF(ISBLANK(B36),"",E36/F36/4)</f>
        <v>573.0368329718004</v>
      </c>
    </row>
    <row r="37" spans="1:7" ht="12.75">
      <c r="A37" s="22">
        <f t="shared" si="1"/>
        <v>44093</v>
      </c>
      <c r="B37" s="15">
        <v>24966531.300000004</v>
      </c>
      <c r="C37" s="15">
        <v>99298.72</v>
      </c>
      <c r="D37" s="15">
        <f t="shared" si="0"/>
        <v>23098762.53</v>
      </c>
      <c r="E37" s="15">
        <v>1768470.050000005</v>
      </c>
      <c r="F37" s="16">
        <v>461</v>
      </c>
      <c r="G37" s="15">
        <f aca="true" t="shared" si="3" ref="G37:G62">IF(ISBLANK(B37),"",E37/F37/7)</f>
        <v>548.022947009608</v>
      </c>
    </row>
    <row r="38" spans="1:7" ht="12.75">
      <c r="A38" s="22">
        <f t="shared" si="1"/>
        <v>44100</v>
      </c>
      <c r="B38" s="15">
        <v>24429638.599999998</v>
      </c>
      <c r="C38" s="15">
        <v>117166.5</v>
      </c>
      <c r="D38" s="15">
        <f t="shared" si="0"/>
        <v>22573423.529999997</v>
      </c>
      <c r="E38" s="15">
        <v>1739048.5699999994</v>
      </c>
      <c r="F38" s="16">
        <v>514</v>
      </c>
      <c r="G38" s="15">
        <f t="shared" si="3"/>
        <v>483.337568093385</v>
      </c>
    </row>
    <row r="39" spans="1:7" ht="12.75">
      <c r="A39" s="22">
        <f t="shared" si="1"/>
        <v>44107</v>
      </c>
      <c r="B39" s="15">
        <v>26408174.96</v>
      </c>
      <c r="C39" s="15">
        <v>136692.49</v>
      </c>
      <c r="D39" s="15">
        <f t="shared" si="0"/>
        <v>24525073.160000004</v>
      </c>
      <c r="E39" s="15">
        <v>1746409.31</v>
      </c>
      <c r="F39" s="16">
        <v>559</v>
      </c>
      <c r="G39" s="15">
        <f t="shared" si="3"/>
        <v>446.3095604395604</v>
      </c>
    </row>
    <row r="40" spans="1:7" ht="12.75">
      <c r="A40" s="22">
        <f t="shared" si="1"/>
        <v>44114</v>
      </c>
      <c r="B40" s="15">
        <v>24551410.779999997</v>
      </c>
      <c r="C40" s="15">
        <v>169525.24999999997</v>
      </c>
      <c r="D40" s="15">
        <f t="shared" si="0"/>
        <v>22769453.319999997</v>
      </c>
      <c r="E40" s="15">
        <v>1612432.21</v>
      </c>
      <c r="F40" s="16">
        <v>575</v>
      </c>
      <c r="G40" s="15">
        <f t="shared" si="3"/>
        <v>400.6042757763975</v>
      </c>
    </row>
    <row r="41" spans="1:7" ht="12.75">
      <c r="A41" s="22">
        <f t="shared" si="1"/>
        <v>44121</v>
      </c>
      <c r="B41" s="15">
        <v>27230048.1</v>
      </c>
      <c r="C41" s="15">
        <v>184329.81000000003</v>
      </c>
      <c r="D41" s="15">
        <f t="shared" si="0"/>
        <v>25193385.150000002</v>
      </c>
      <c r="E41" s="15">
        <v>1852333.1400000001</v>
      </c>
      <c r="F41" s="16">
        <v>543</v>
      </c>
      <c r="G41" s="15">
        <f t="shared" si="3"/>
        <v>487.32784530386743</v>
      </c>
    </row>
    <row r="42" spans="1:7" ht="12.75">
      <c r="A42" s="22">
        <f t="shared" si="1"/>
        <v>44128</v>
      </c>
      <c r="B42" s="15">
        <v>24089952.66</v>
      </c>
      <c r="C42" s="15">
        <v>103611.52999999998</v>
      </c>
      <c r="D42" s="15">
        <f t="shared" si="0"/>
        <v>22264092.209999997</v>
      </c>
      <c r="E42" s="15">
        <v>1722248.9200000006</v>
      </c>
      <c r="F42" s="16">
        <v>592</v>
      </c>
      <c r="G42" s="15">
        <f t="shared" si="3"/>
        <v>415.60060810810825</v>
      </c>
    </row>
    <row r="43" spans="1:7" ht="12.75">
      <c r="A43" s="22">
        <f t="shared" si="1"/>
        <v>44135</v>
      </c>
      <c r="B43" s="15">
        <v>23825474.48</v>
      </c>
      <c r="C43" s="15">
        <v>165244.52000000002</v>
      </c>
      <c r="D43" s="15">
        <f t="shared" si="0"/>
        <v>22017691.12</v>
      </c>
      <c r="E43" s="15">
        <v>1642538.8400000003</v>
      </c>
      <c r="F43" s="16">
        <v>630</v>
      </c>
      <c r="G43" s="15">
        <f t="shared" si="3"/>
        <v>372.45778684807266</v>
      </c>
    </row>
    <row r="44" spans="1:7" ht="12.75">
      <c r="A44" s="22">
        <f t="shared" si="1"/>
        <v>44142</v>
      </c>
      <c r="B44" s="15">
        <v>26180930.11</v>
      </c>
      <c r="C44" s="15">
        <v>200595.37</v>
      </c>
      <c r="D44" s="15">
        <f t="shared" si="0"/>
        <v>24152888.81</v>
      </c>
      <c r="E44" s="15">
        <v>1827445.93</v>
      </c>
      <c r="F44" s="16">
        <v>644</v>
      </c>
      <c r="G44" s="15">
        <f t="shared" si="3"/>
        <v>405.37842280390413</v>
      </c>
    </row>
    <row r="45" spans="1:7" ht="12.75">
      <c r="A45" s="22">
        <f t="shared" si="1"/>
        <v>44149</v>
      </c>
      <c r="B45" s="15">
        <v>24952809.409999996</v>
      </c>
      <c r="C45" s="15">
        <v>225156.19</v>
      </c>
      <c r="D45" s="15">
        <f t="shared" si="0"/>
        <v>23135022.419999994</v>
      </c>
      <c r="E45" s="15">
        <v>1592630.7999999998</v>
      </c>
      <c r="F45" s="16">
        <v>650</v>
      </c>
      <c r="G45" s="15">
        <f t="shared" si="3"/>
        <v>350.02874725274717</v>
      </c>
    </row>
    <row r="46" spans="1:7" ht="12.75">
      <c r="A46" s="22">
        <f t="shared" si="1"/>
        <v>44156</v>
      </c>
      <c r="B46" s="15">
        <v>21705041.48</v>
      </c>
      <c r="C46" s="15">
        <v>212768.78</v>
      </c>
      <c r="D46" s="15">
        <f t="shared" si="0"/>
        <v>20074673.91</v>
      </c>
      <c r="E46" s="15">
        <v>1417598.7899999998</v>
      </c>
      <c r="F46" s="16">
        <v>575</v>
      </c>
      <c r="G46" s="15">
        <f t="shared" si="3"/>
        <v>352.1984571428571</v>
      </c>
    </row>
    <row r="47" spans="1:7" ht="12.75">
      <c r="A47" s="22">
        <f t="shared" si="1"/>
        <v>44163</v>
      </c>
      <c r="B47" s="15">
        <v>21354857.94</v>
      </c>
      <c r="C47" s="15">
        <v>196745.4</v>
      </c>
      <c r="D47" s="15">
        <f t="shared" si="0"/>
        <v>19700021.28</v>
      </c>
      <c r="E47" s="15">
        <v>1458091.2599999998</v>
      </c>
      <c r="F47" s="16">
        <v>607</v>
      </c>
      <c r="G47" s="15">
        <f t="shared" si="3"/>
        <v>343.16104024476346</v>
      </c>
    </row>
    <row r="48" spans="1:7" ht="12.75">
      <c r="A48" s="22">
        <f t="shared" si="1"/>
        <v>44170</v>
      </c>
      <c r="B48" s="15">
        <v>21631642.07</v>
      </c>
      <c r="C48" s="15">
        <v>210160.58000000002</v>
      </c>
      <c r="D48" s="15">
        <f t="shared" si="0"/>
        <v>20008134.44</v>
      </c>
      <c r="E48" s="15">
        <v>1413347.0500000005</v>
      </c>
      <c r="F48" s="16">
        <v>652</v>
      </c>
      <c r="G48" s="15">
        <f t="shared" si="3"/>
        <v>309.67288562664345</v>
      </c>
    </row>
    <row r="49" spans="1:7" ht="12.75">
      <c r="A49" s="22">
        <f t="shared" si="1"/>
        <v>44177</v>
      </c>
      <c r="B49" s="15">
        <v>20659562.55</v>
      </c>
      <c r="C49" s="15">
        <v>202732.14999999997</v>
      </c>
      <c r="D49" s="15">
        <f t="shared" si="0"/>
        <v>19216952.05</v>
      </c>
      <c r="E49" s="15">
        <v>1239878.35</v>
      </c>
      <c r="F49" s="16">
        <v>660</v>
      </c>
      <c r="G49" s="15">
        <f t="shared" si="3"/>
        <v>268.37193722943726</v>
      </c>
    </row>
    <row r="50" spans="1:7" ht="12.75">
      <c r="A50" s="22">
        <f t="shared" si="1"/>
        <v>44184</v>
      </c>
      <c r="B50" s="15">
        <v>16694788.57</v>
      </c>
      <c r="C50" s="15">
        <v>163871.7</v>
      </c>
      <c r="D50" s="15">
        <f t="shared" si="0"/>
        <v>15468412.71</v>
      </c>
      <c r="E50" s="15">
        <v>1062504.16</v>
      </c>
      <c r="F50" s="16">
        <v>662</v>
      </c>
      <c r="G50" s="15">
        <f t="shared" si="3"/>
        <v>229.28445403539058</v>
      </c>
    </row>
    <row r="51" spans="1:7" ht="12.75">
      <c r="A51" s="22">
        <f t="shared" si="1"/>
        <v>44191</v>
      </c>
      <c r="B51" s="15">
        <v>22071956.29</v>
      </c>
      <c r="C51" s="15">
        <v>185855.86</v>
      </c>
      <c r="D51" s="15">
        <f t="shared" si="0"/>
        <v>20526261.3</v>
      </c>
      <c r="E51" s="15">
        <v>1359839.13</v>
      </c>
      <c r="F51" s="16">
        <v>662</v>
      </c>
      <c r="G51" s="15">
        <f t="shared" si="3"/>
        <v>293.44823694432455</v>
      </c>
    </row>
    <row r="52" spans="1:7" ht="12.75">
      <c r="A52" s="22">
        <f t="shared" si="1"/>
        <v>44198</v>
      </c>
      <c r="B52" s="15">
        <v>29064442.83</v>
      </c>
      <c r="C52" s="15">
        <v>223497.50999999998</v>
      </c>
      <c r="D52" s="15">
        <f t="shared" si="0"/>
        <v>26797197.839999996</v>
      </c>
      <c r="E52" s="15">
        <v>2043747.4800000004</v>
      </c>
      <c r="F52" s="16">
        <v>662</v>
      </c>
      <c r="G52" s="15">
        <f t="shared" si="3"/>
        <v>441.03312041432895</v>
      </c>
    </row>
    <row r="53" spans="1:7" ht="12.75">
      <c r="A53" s="22">
        <f t="shared" si="1"/>
        <v>44205</v>
      </c>
      <c r="B53" s="15">
        <v>21949095.27</v>
      </c>
      <c r="C53" s="15">
        <v>132438.68</v>
      </c>
      <c r="D53" s="15">
        <f t="shared" si="0"/>
        <v>20364965.86</v>
      </c>
      <c r="E53" s="15">
        <v>1451690.7299999995</v>
      </c>
      <c r="F53" s="16">
        <v>554</v>
      </c>
      <c r="G53" s="15">
        <f t="shared" si="3"/>
        <v>374.34005415162443</v>
      </c>
    </row>
    <row r="54" spans="1:7" ht="12.75">
      <c r="A54" s="22">
        <f t="shared" si="1"/>
        <v>44212</v>
      </c>
      <c r="B54" s="15">
        <v>20981355.21</v>
      </c>
      <c r="C54" s="15">
        <v>146273.85</v>
      </c>
      <c r="D54" s="15">
        <f t="shared" si="0"/>
        <v>19305535.5</v>
      </c>
      <c r="E54" s="15">
        <v>1529545.8599999999</v>
      </c>
      <c r="F54" s="16">
        <v>539</v>
      </c>
      <c r="G54" s="15">
        <f t="shared" si="3"/>
        <v>405.392488735754</v>
      </c>
    </row>
    <row r="55" spans="1:7" ht="12.75">
      <c r="A55" s="22">
        <f t="shared" si="1"/>
        <v>44219</v>
      </c>
      <c r="B55" s="15">
        <v>23111714.36</v>
      </c>
      <c r="C55" s="15">
        <v>152844.39</v>
      </c>
      <c r="D55" s="15">
        <f t="shared" si="0"/>
        <v>21475430.72</v>
      </c>
      <c r="E55" s="15">
        <v>1483439.2499999998</v>
      </c>
      <c r="F55" s="16">
        <v>547</v>
      </c>
      <c r="G55" s="15">
        <f t="shared" si="3"/>
        <v>387.42210759989547</v>
      </c>
    </row>
    <row r="56" spans="1:7" ht="12.75">
      <c r="A56" s="22">
        <f t="shared" si="1"/>
        <v>44226</v>
      </c>
      <c r="B56" s="15">
        <v>22085717.14</v>
      </c>
      <c r="C56" s="15">
        <v>104988.06999999998</v>
      </c>
      <c r="D56" s="15">
        <f t="shared" si="0"/>
        <v>20342094.26</v>
      </c>
      <c r="E56" s="15">
        <v>1638634.8099999998</v>
      </c>
      <c r="F56" s="16">
        <v>551</v>
      </c>
      <c r="G56" s="15">
        <f t="shared" si="3"/>
        <v>424.8469821104485</v>
      </c>
    </row>
    <row r="57" spans="1:7" ht="12.75">
      <c r="A57" s="22">
        <f t="shared" si="1"/>
        <v>44233</v>
      </c>
      <c r="B57" s="15">
        <v>23619833.250000004</v>
      </c>
      <c r="C57" s="15">
        <v>139374.80000000002</v>
      </c>
      <c r="D57" s="15">
        <f t="shared" si="0"/>
        <v>21718951.570000004</v>
      </c>
      <c r="E57" s="15">
        <v>1761506.8799999997</v>
      </c>
      <c r="F57" s="16">
        <v>552</v>
      </c>
      <c r="G57" s="15">
        <f t="shared" si="3"/>
        <v>455.8765217391304</v>
      </c>
    </row>
    <row r="58" spans="1:7" ht="12.75">
      <c r="A58" s="22">
        <f t="shared" si="1"/>
        <v>44240</v>
      </c>
      <c r="B58" s="15">
        <v>24272265.669999994</v>
      </c>
      <c r="C58" s="15">
        <v>141518</v>
      </c>
      <c r="D58" s="15">
        <f t="shared" si="0"/>
        <v>22403357.089999992</v>
      </c>
      <c r="E58" s="15">
        <v>1727390.5800000003</v>
      </c>
      <c r="F58" s="16">
        <v>632</v>
      </c>
      <c r="G58" s="15">
        <f t="shared" si="3"/>
        <v>390.45899186256787</v>
      </c>
    </row>
    <row r="59" spans="1:7" ht="12.75">
      <c r="A59" s="22">
        <f t="shared" si="1"/>
        <v>44247</v>
      </c>
      <c r="B59" s="15">
        <v>27492249.730000004</v>
      </c>
      <c r="C59" s="15">
        <v>156179.40000000002</v>
      </c>
      <c r="D59" s="15">
        <f t="shared" si="0"/>
        <v>25402554.850000005</v>
      </c>
      <c r="E59" s="15">
        <v>1933515.4800000004</v>
      </c>
      <c r="F59" s="16">
        <v>679</v>
      </c>
      <c r="G59" s="15">
        <f t="shared" si="3"/>
        <v>406.79896486429635</v>
      </c>
    </row>
    <row r="60" spans="1:7" ht="12.75">
      <c r="A60" s="22">
        <f t="shared" si="1"/>
        <v>44254</v>
      </c>
      <c r="B60" s="15">
        <v>28830983.589999996</v>
      </c>
      <c r="C60" s="15">
        <v>122552.79999999999</v>
      </c>
      <c r="D60" s="15">
        <f t="shared" si="0"/>
        <v>26587439.089999996</v>
      </c>
      <c r="E60" s="15">
        <v>2120991.7</v>
      </c>
      <c r="F60" s="16">
        <v>679</v>
      </c>
      <c r="G60" s="15">
        <f t="shared" si="3"/>
        <v>446.24273090679577</v>
      </c>
    </row>
    <row r="61" spans="1:7" ht="12.75">
      <c r="A61" s="22">
        <f t="shared" si="1"/>
        <v>44261</v>
      </c>
      <c r="B61" s="15">
        <v>31855846.77</v>
      </c>
      <c r="C61" s="15">
        <v>181285.47</v>
      </c>
      <c r="D61" s="15">
        <f t="shared" si="0"/>
        <v>29335443.46</v>
      </c>
      <c r="E61" s="15">
        <v>2339117.840000001</v>
      </c>
      <c r="F61" s="16">
        <v>679</v>
      </c>
      <c r="G61" s="15">
        <f t="shared" si="3"/>
        <v>492.1350389227858</v>
      </c>
    </row>
    <row r="62" spans="1:7" ht="12.75">
      <c r="A62" s="22">
        <f t="shared" si="1"/>
        <v>44268</v>
      </c>
      <c r="B62" s="15">
        <v>32854617.869999997</v>
      </c>
      <c r="C62" s="15">
        <v>209301.71</v>
      </c>
      <c r="D62" s="15">
        <f t="shared" si="0"/>
        <v>30384638.38</v>
      </c>
      <c r="E62" s="15">
        <v>2260677.779999999</v>
      </c>
      <c r="F62" s="16">
        <v>680</v>
      </c>
      <c r="G62" s="15">
        <f t="shared" si="3"/>
        <v>474.93230672268885</v>
      </c>
    </row>
    <row r="63" spans="1:7" ht="12.75">
      <c r="A63" s="22">
        <f t="shared" si="1"/>
        <v>44275</v>
      </c>
      <c r="B63" s="15">
        <v>36501715.95999999</v>
      </c>
      <c r="C63" s="15">
        <v>212360.14</v>
      </c>
      <c r="D63" s="15">
        <f t="shared" si="0"/>
        <v>33548105.399999995</v>
      </c>
      <c r="E63" s="15">
        <v>2741250.4199999995</v>
      </c>
      <c r="F63" s="16">
        <v>680</v>
      </c>
      <c r="G63" s="15">
        <f>IF(ISBLANK(B63),"",E63/F63/7)</f>
        <v>575.8929453781511</v>
      </c>
    </row>
    <row r="64" spans="1:7" ht="12.75">
      <c r="A64" s="22">
        <f t="shared" si="1"/>
        <v>44282</v>
      </c>
      <c r="B64" s="15">
        <v>34412563.02</v>
      </c>
      <c r="C64" s="15">
        <v>214374.12000000002</v>
      </c>
      <c r="D64" s="15">
        <f>IF(ISBLANK(B64),"",B64-C64-E64)</f>
        <v>31639185.700000007</v>
      </c>
      <c r="E64" s="15">
        <v>2559003.2</v>
      </c>
      <c r="F64" s="16">
        <v>680</v>
      </c>
      <c r="G64" s="15">
        <f>IF(ISBLANK(B64),"",E64/F64/7)</f>
        <v>537.6057142857143</v>
      </c>
    </row>
    <row r="65" ht="12.75">
      <c r="A65" s="22"/>
    </row>
    <row r="66" spans="1:7" ht="13.5" thickBot="1">
      <c r="A66" s="3" t="s">
        <v>8</v>
      </c>
      <c r="B66" s="17">
        <f>SUM(B12:B65)</f>
        <v>722360918.62</v>
      </c>
      <c r="C66" s="17">
        <f>SUM(C12:C65)</f>
        <v>4712313.24</v>
      </c>
      <c r="D66" s="17">
        <f>SUM(D12:D65)</f>
        <v>667546596.94</v>
      </c>
      <c r="E66" s="17">
        <f>SUM(E12:E65)</f>
        <v>50102008.44000001</v>
      </c>
      <c r="F66" s="24">
        <f>_xlfn.IFERROR(SUM(F36:F65)/COUNT(F36:F65)," ")</f>
        <v>605.551724137931</v>
      </c>
      <c r="G66" s="17">
        <f>E66/F66/200</f>
        <v>413.6889256762144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54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37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43554</v>
      </c>
      <c r="B12" s="15">
        <v>38551749</v>
      </c>
      <c r="C12" s="15">
        <v>351663</v>
      </c>
      <c r="D12" s="15">
        <f aca="true" t="shared" si="0" ref="D12:D63">IF(ISBLANK(B12),"",B12-C12-E12)</f>
        <v>35525345</v>
      </c>
      <c r="E12" s="15">
        <v>2674741</v>
      </c>
      <c r="F12" s="16">
        <f>11211/7</f>
        <v>1601.5714285714287</v>
      </c>
      <c r="G12" s="15">
        <f>IF(ISBLANK(B12),"",E12/F12/7)</f>
        <v>238.58183926500757</v>
      </c>
    </row>
    <row r="13" spans="1:7" ht="12.75">
      <c r="A13" s="22">
        <f aca="true" t="shared" si="1" ref="A13:A63">+A12+7</f>
        <v>43561</v>
      </c>
      <c r="B13" s="15">
        <v>38589203.42</v>
      </c>
      <c r="C13" s="15">
        <v>332767.97</v>
      </c>
      <c r="D13" s="15">
        <f t="shared" si="0"/>
        <v>35747863.52</v>
      </c>
      <c r="E13" s="15">
        <v>2508571.93</v>
      </c>
      <c r="F13" s="16">
        <f>11501/7</f>
        <v>1643</v>
      </c>
      <c r="G13" s="15">
        <f aca="true" t="shared" si="2" ref="G13:G62">IF(ISBLANK(B13),"",E13/F13/7)</f>
        <v>218.11772280671246</v>
      </c>
    </row>
    <row r="14" spans="1:7" ht="12.75">
      <c r="A14" s="22">
        <f t="shared" si="1"/>
        <v>43568</v>
      </c>
      <c r="B14" s="15">
        <v>37854212.48</v>
      </c>
      <c r="C14" s="15">
        <f>374890.79-42900</f>
        <v>331990.79</v>
      </c>
      <c r="D14" s="15">
        <f t="shared" si="0"/>
        <v>34887581.97</v>
      </c>
      <c r="E14" s="15">
        <v>2634639.72</v>
      </c>
      <c r="F14" s="16">
        <f>11585/7</f>
        <v>1655</v>
      </c>
      <c r="G14" s="15">
        <f t="shared" si="2"/>
        <v>227.41818903754856</v>
      </c>
    </row>
    <row r="15" spans="1:7" ht="12.75">
      <c r="A15" s="22">
        <f t="shared" si="1"/>
        <v>43575</v>
      </c>
      <c r="B15" s="15">
        <v>35223580</v>
      </c>
      <c r="C15" s="15">
        <v>363670</v>
      </c>
      <c r="D15" s="15">
        <f t="shared" si="0"/>
        <v>32577656</v>
      </c>
      <c r="E15" s="15">
        <v>2282254</v>
      </c>
      <c r="F15" s="16">
        <f>11331/7</f>
        <v>1618.7142857142858</v>
      </c>
      <c r="G15" s="15">
        <f t="shared" si="2"/>
        <v>201.41682111022857</v>
      </c>
    </row>
    <row r="16" spans="1:7" ht="12.75">
      <c r="A16" s="22">
        <f t="shared" si="1"/>
        <v>43582</v>
      </c>
      <c r="B16" s="15">
        <v>36752028.88</v>
      </c>
      <c r="C16" s="15">
        <v>328852.58</v>
      </c>
      <c r="D16" s="15">
        <f t="shared" si="0"/>
        <v>33823623.24</v>
      </c>
      <c r="E16" s="15">
        <v>2599553.06</v>
      </c>
      <c r="F16" s="16">
        <f>11277/7</f>
        <v>1611</v>
      </c>
      <c r="G16" s="15">
        <f t="shared" si="2"/>
        <v>230.5181395761284</v>
      </c>
    </row>
    <row r="17" spans="1:7" ht="12.75">
      <c r="A17" s="22">
        <f t="shared" si="1"/>
        <v>43589</v>
      </c>
      <c r="B17" s="15">
        <v>39170275.1</v>
      </c>
      <c r="C17" s="15">
        <v>353356.98</v>
      </c>
      <c r="D17" s="15">
        <f t="shared" si="0"/>
        <v>36053378.79000001</v>
      </c>
      <c r="E17" s="15">
        <v>2763539.33</v>
      </c>
      <c r="F17" s="16">
        <f>11427/7</f>
        <v>1632.4285714285713</v>
      </c>
      <c r="G17" s="15">
        <f t="shared" si="2"/>
        <v>241.84294477990724</v>
      </c>
    </row>
    <row r="18" spans="1:7" ht="12.75">
      <c r="A18" s="22">
        <f t="shared" si="1"/>
        <v>43596</v>
      </c>
      <c r="B18" s="15">
        <v>34915987.39</v>
      </c>
      <c r="C18" s="15">
        <v>324966.87</v>
      </c>
      <c r="D18" s="15">
        <f t="shared" si="0"/>
        <v>32136010.930000003</v>
      </c>
      <c r="E18" s="15">
        <v>2455009.5900000003</v>
      </c>
      <c r="F18" s="16">
        <f>11627/7</f>
        <v>1661</v>
      </c>
      <c r="G18" s="15">
        <f t="shared" si="2"/>
        <v>211.1472942289499</v>
      </c>
    </row>
    <row r="19" spans="1:7" ht="12.75">
      <c r="A19" s="22">
        <f t="shared" si="1"/>
        <v>43603</v>
      </c>
      <c r="B19" s="15">
        <v>37153462.9</v>
      </c>
      <c r="C19" s="15">
        <v>373367.5</v>
      </c>
      <c r="D19" s="15">
        <f t="shared" si="0"/>
        <v>34262648.339999996</v>
      </c>
      <c r="E19" s="15">
        <v>2517447.06</v>
      </c>
      <c r="F19" s="16">
        <f>10350/7</f>
        <v>1478.5714285714287</v>
      </c>
      <c r="G19" s="15">
        <f t="shared" si="2"/>
        <v>243.2316</v>
      </c>
    </row>
    <row r="20" spans="1:7" ht="12.75">
      <c r="A20" s="22">
        <f t="shared" si="1"/>
        <v>43610</v>
      </c>
      <c r="B20" s="15">
        <v>33529000</v>
      </c>
      <c r="C20" s="15">
        <v>351090</v>
      </c>
      <c r="D20" s="15">
        <f t="shared" si="0"/>
        <v>30989819</v>
      </c>
      <c r="E20" s="15">
        <v>2188091</v>
      </c>
      <c r="F20" s="16">
        <f>10010/7</f>
        <v>1430</v>
      </c>
      <c r="G20" s="15">
        <f t="shared" si="2"/>
        <v>218.59050949050948</v>
      </c>
    </row>
    <row r="21" spans="1:7" ht="12.75">
      <c r="A21" s="22">
        <f t="shared" si="1"/>
        <v>43617</v>
      </c>
      <c r="B21" s="15">
        <v>39062520.78</v>
      </c>
      <c r="C21" s="15">
        <v>377244.53</v>
      </c>
      <c r="D21" s="15">
        <f t="shared" si="0"/>
        <v>36034133.48</v>
      </c>
      <c r="E21" s="15">
        <v>2651142.77</v>
      </c>
      <c r="F21" s="16">
        <f>10010/7</f>
        <v>1430</v>
      </c>
      <c r="G21" s="15">
        <f t="shared" si="2"/>
        <v>264.84942757242754</v>
      </c>
    </row>
    <row r="22" spans="1:7" ht="12.75">
      <c r="A22" s="22">
        <f t="shared" si="1"/>
        <v>43624</v>
      </c>
      <c r="B22" s="15">
        <v>34827996.29</v>
      </c>
      <c r="C22" s="15">
        <f>341389.88-43585</f>
        <v>297804.88</v>
      </c>
      <c r="D22" s="15">
        <f t="shared" si="0"/>
        <v>32077482.189999998</v>
      </c>
      <c r="E22" s="15">
        <v>2452709.22</v>
      </c>
      <c r="F22" s="16">
        <f>9962/7</f>
        <v>1423.142857142857</v>
      </c>
      <c r="G22" s="15">
        <f t="shared" si="2"/>
        <v>246.20650672555715</v>
      </c>
    </row>
    <row r="23" spans="1:7" ht="12.75">
      <c r="A23" s="22">
        <f t="shared" si="1"/>
        <v>43631</v>
      </c>
      <c r="B23" s="15">
        <v>35275784.28</v>
      </c>
      <c r="C23" s="15">
        <v>368309.69</v>
      </c>
      <c r="D23" s="15">
        <f t="shared" si="0"/>
        <v>32384164.560000002</v>
      </c>
      <c r="E23" s="15">
        <v>2523310.03</v>
      </c>
      <c r="F23" s="16">
        <f>9926/7</f>
        <v>1418</v>
      </c>
      <c r="G23" s="15">
        <f t="shared" si="2"/>
        <v>254.21217308079787</v>
      </c>
    </row>
    <row r="24" spans="1:7" ht="12.75">
      <c r="A24" s="22">
        <f t="shared" si="1"/>
        <v>43638</v>
      </c>
      <c r="B24" s="15">
        <v>36690118.08</v>
      </c>
      <c r="C24" s="15">
        <v>380194.2</v>
      </c>
      <c r="D24" s="15">
        <f t="shared" si="0"/>
        <v>33882144.809999995</v>
      </c>
      <c r="E24" s="15">
        <v>2427779.07</v>
      </c>
      <c r="F24" s="16">
        <f>9926/7</f>
        <v>1418</v>
      </c>
      <c r="G24" s="15">
        <f t="shared" si="2"/>
        <v>244.5878571428571</v>
      </c>
    </row>
    <row r="25" spans="1:7" ht="12.75">
      <c r="A25" s="22">
        <f t="shared" si="1"/>
        <v>43645</v>
      </c>
      <c r="B25" s="15">
        <v>35302805.54</v>
      </c>
      <c r="C25" s="15">
        <v>353349.83</v>
      </c>
      <c r="D25" s="15">
        <f t="shared" si="0"/>
        <v>32631279.41</v>
      </c>
      <c r="E25" s="15">
        <v>2318176.3</v>
      </c>
      <c r="F25" s="16">
        <f>9926/7</f>
        <v>1418</v>
      </c>
      <c r="G25" s="15">
        <f t="shared" si="2"/>
        <v>233.54586943381017</v>
      </c>
    </row>
    <row r="26" spans="1:7" ht="12.75">
      <c r="A26" s="22">
        <f t="shared" si="1"/>
        <v>43652</v>
      </c>
      <c r="B26" s="15">
        <v>41245243.24</v>
      </c>
      <c r="C26" s="15">
        <v>382174.39</v>
      </c>
      <c r="D26" s="15">
        <f t="shared" si="0"/>
        <v>38109945.04</v>
      </c>
      <c r="E26" s="15">
        <v>2753123.81</v>
      </c>
      <c r="F26" s="16">
        <f>9926/7</f>
        <v>1418</v>
      </c>
      <c r="G26" s="15">
        <f t="shared" si="2"/>
        <v>277.36488112029014</v>
      </c>
    </row>
    <row r="27" spans="1:7" ht="12.75">
      <c r="A27" s="22">
        <f t="shared" si="1"/>
        <v>43659</v>
      </c>
      <c r="B27" s="15">
        <v>37456878.15</v>
      </c>
      <c r="C27" s="15">
        <f>383367.41-46100</f>
        <v>337267.41</v>
      </c>
      <c r="D27" s="15">
        <f t="shared" si="0"/>
        <v>34641206.21</v>
      </c>
      <c r="E27" s="15">
        <v>2478404.53</v>
      </c>
      <c r="F27" s="16">
        <f>9926/7</f>
        <v>1418</v>
      </c>
      <c r="G27" s="15">
        <f t="shared" si="2"/>
        <v>249.68814527503523</v>
      </c>
    </row>
    <row r="28" spans="1:7" ht="12.75">
      <c r="A28" s="22">
        <f t="shared" si="1"/>
        <v>43666</v>
      </c>
      <c r="B28" s="15">
        <v>38295528.14</v>
      </c>
      <c r="C28" s="15">
        <v>378422.75</v>
      </c>
      <c r="D28" s="15">
        <f t="shared" si="0"/>
        <v>35351028.99</v>
      </c>
      <c r="E28" s="15">
        <v>2566076.4</v>
      </c>
      <c r="F28" s="16">
        <v>1418</v>
      </c>
      <c r="G28" s="15">
        <f t="shared" si="2"/>
        <v>258.52069312915575</v>
      </c>
    </row>
    <row r="29" spans="1:7" ht="12.75">
      <c r="A29" s="22">
        <f t="shared" si="1"/>
        <v>43673</v>
      </c>
      <c r="B29" s="15">
        <v>38678788.11</v>
      </c>
      <c r="C29" s="15">
        <v>364109.37</v>
      </c>
      <c r="D29" s="15">
        <f t="shared" si="0"/>
        <v>35686275.97</v>
      </c>
      <c r="E29" s="15">
        <v>2628402.77</v>
      </c>
      <c r="F29" s="16">
        <v>1418</v>
      </c>
      <c r="G29" s="15">
        <f t="shared" si="2"/>
        <v>264.79979548660083</v>
      </c>
    </row>
    <row r="30" spans="1:7" ht="12.75">
      <c r="A30" s="22">
        <f t="shared" si="1"/>
        <v>43680</v>
      </c>
      <c r="B30" s="15">
        <v>39717650.89</v>
      </c>
      <c r="C30" s="15">
        <v>373996.5</v>
      </c>
      <c r="D30" s="15">
        <f t="shared" si="0"/>
        <v>36875822.82</v>
      </c>
      <c r="E30" s="15">
        <v>2467831.57</v>
      </c>
      <c r="F30" s="16">
        <f aca="true" t="shared" si="3" ref="F30:F40">9926/7</f>
        <v>1418</v>
      </c>
      <c r="G30" s="15">
        <f t="shared" si="2"/>
        <v>248.62296695547047</v>
      </c>
    </row>
    <row r="31" spans="1:7" ht="12.75">
      <c r="A31" s="22">
        <f t="shared" si="1"/>
        <v>43687</v>
      </c>
      <c r="B31" s="15">
        <v>42094560.06</v>
      </c>
      <c r="C31" s="15">
        <v>413584.18</v>
      </c>
      <c r="D31" s="15">
        <f t="shared" si="0"/>
        <v>38897319.72</v>
      </c>
      <c r="E31" s="15">
        <v>2783656.16</v>
      </c>
      <c r="F31" s="16">
        <f t="shared" si="3"/>
        <v>1418</v>
      </c>
      <c r="G31" s="15">
        <f t="shared" si="2"/>
        <v>280.4408785009067</v>
      </c>
    </row>
    <row r="32" spans="1:7" ht="12.75">
      <c r="A32" s="22">
        <f t="shared" si="1"/>
        <v>43694</v>
      </c>
      <c r="B32" s="15">
        <v>41810103.14</v>
      </c>
      <c r="C32" s="15">
        <v>351377.82</v>
      </c>
      <c r="D32" s="15">
        <f t="shared" si="0"/>
        <v>38708417.81</v>
      </c>
      <c r="E32" s="15">
        <v>2750307.51</v>
      </c>
      <c r="F32" s="16">
        <f t="shared" si="3"/>
        <v>1418</v>
      </c>
      <c r="G32" s="15">
        <f t="shared" si="2"/>
        <v>277.0811515212573</v>
      </c>
    </row>
    <row r="33" spans="1:7" ht="12.75">
      <c r="A33" s="22">
        <f t="shared" si="1"/>
        <v>43701</v>
      </c>
      <c r="B33" s="15">
        <v>42193559.38</v>
      </c>
      <c r="C33" s="15">
        <v>377557.27</v>
      </c>
      <c r="D33" s="15">
        <f t="shared" si="0"/>
        <v>38950070.870000005</v>
      </c>
      <c r="E33" s="15">
        <v>2865931.2399999984</v>
      </c>
      <c r="F33" s="16">
        <f t="shared" si="3"/>
        <v>1418</v>
      </c>
      <c r="G33" s="15">
        <f t="shared" si="2"/>
        <v>288.72972395728374</v>
      </c>
    </row>
    <row r="34" spans="1:7" ht="12.75">
      <c r="A34" s="22">
        <f t="shared" si="1"/>
        <v>43708</v>
      </c>
      <c r="B34" s="15">
        <v>41554984.61</v>
      </c>
      <c r="C34" s="15">
        <v>370706.35</v>
      </c>
      <c r="D34" s="15">
        <f t="shared" si="0"/>
        <v>38373826.589999996</v>
      </c>
      <c r="E34" s="15">
        <v>2810451.67</v>
      </c>
      <c r="F34" s="16">
        <f t="shared" si="3"/>
        <v>1418</v>
      </c>
      <c r="G34" s="15">
        <f t="shared" si="2"/>
        <v>283.1404060044328</v>
      </c>
    </row>
    <row r="35" spans="1:7" ht="12.75">
      <c r="A35" s="22">
        <f t="shared" si="1"/>
        <v>43715</v>
      </c>
      <c r="B35" s="15">
        <v>41559479.44</v>
      </c>
      <c r="C35" s="15">
        <v>317711.20000000007</v>
      </c>
      <c r="D35" s="15">
        <f t="shared" si="0"/>
        <v>38332504.769999996</v>
      </c>
      <c r="E35" s="15">
        <v>2909263.470000001</v>
      </c>
      <c r="F35" s="16">
        <f t="shared" si="3"/>
        <v>1418</v>
      </c>
      <c r="G35" s="15">
        <f t="shared" si="2"/>
        <v>293.0952518637922</v>
      </c>
    </row>
    <row r="36" spans="1:7" ht="12.75">
      <c r="A36" s="22">
        <f t="shared" si="1"/>
        <v>43722</v>
      </c>
      <c r="B36" s="15">
        <v>34329579.49</v>
      </c>
      <c r="C36" s="15">
        <v>348413.21</v>
      </c>
      <c r="D36" s="15">
        <f t="shared" si="0"/>
        <v>31606279.479999997</v>
      </c>
      <c r="E36" s="15">
        <v>2374886.8000000026</v>
      </c>
      <c r="F36" s="16">
        <f t="shared" si="3"/>
        <v>1418</v>
      </c>
      <c r="G36" s="15">
        <f t="shared" si="2"/>
        <v>239.25919806568635</v>
      </c>
    </row>
    <row r="37" spans="1:7" ht="12.75">
      <c r="A37" s="22">
        <f t="shared" si="1"/>
        <v>43729</v>
      </c>
      <c r="B37" s="15">
        <v>35864700</v>
      </c>
      <c r="C37" s="15">
        <v>370634.05</v>
      </c>
      <c r="D37" s="15">
        <f t="shared" si="0"/>
        <v>33146811.65</v>
      </c>
      <c r="E37" s="15">
        <v>2347254.300000005</v>
      </c>
      <c r="F37" s="16">
        <f t="shared" si="3"/>
        <v>1418</v>
      </c>
      <c r="G37" s="15">
        <f t="shared" si="2"/>
        <v>236.47534757203354</v>
      </c>
    </row>
    <row r="38" spans="1:7" ht="12.75">
      <c r="A38" s="22">
        <f t="shared" si="1"/>
        <v>43736</v>
      </c>
      <c r="B38" s="15">
        <v>36941704.629999995</v>
      </c>
      <c r="C38" s="15">
        <v>350452.07</v>
      </c>
      <c r="D38" s="15">
        <f t="shared" si="0"/>
        <v>34032892.76</v>
      </c>
      <c r="E38" s="15">
        <v>2558359.7999999993</v>
      </c>
      <c r="F38" s="16">
        <f t="shared" si="3"/>
        <v>1418</v>
      </c>
      <c r="G38" s="15">
        <f t="shared" si="2"/>
        <v>257.74328027402777</v>
      </c>
    </row>
    <row r="39" spans="1:7" ht="12.75">
      <c r="A39" s="22">
        <f t="shared" si="1"/>
        <v>43743</v>
      </c>
      <c r="B39" s="15">
        <v>37522531.89</v>
      </c>
      <c r="C39" s="15">
        <v>339676.4</v>
      </c>
      <c r="D39" s="15">
        <f t="shared" si="0"/>
        <v>34757369.71</v>
      </c>
      <c r="E39" s="15">
        <v>2425485.7800000045</v>
      </c>
      <c r="F39" s="16">
        <f t="shared" si="3"/>
        <v>1418</v>
      </c>
      <c r="G39" s="15">
        <f t="shared" si="2"/>
        <v>244.35681845657913</v>
      </c>
    </row>
    <row r="40" spans="1:7" ht="12.75">
      <c r="A40" s="22">
        <f t="shared" si="1"/>
        <v>43750</v>
      </c>
      <c r="B40" s="15">
        <v>37038130.38</v>
      </c>
      <c r="C40" s="15">
        <v>362302.19000000006</v>
      </c>
      <c r="D40" s="15">
        <f t="shared" si="0"/>
        <v>34169315.18000001</v>
      </c>
      <c r="E40" s="15">
        <v>2506513.0100000007</v>
      </c>
      <c r="F40" s="16">
        <f t="shared" si="3"/>
        <v>1418</v>
      </c>
      <c r="G40" s="15">
        <f t="shared" si="2"/>
        <v>252.51994861978648</v>
      </c>
    </row>
    <row r="41" spans="1:7" ht="12.75">
      <c r="A41" s="22">
        <f t="shared" si="1"/>
        <v>43757</v>
      </c>
      <c r="B41" s="15">
        <v>36043898.32</v>
      </c>
      <c r="C41" s="15">
        <v>339217.13</v>
      </c>
      <c r="D41" s="15">
        <f t="shared" si="0"/>
        <v>33245128.699999996</v>
      </c>
      <c r="E41" s="15">
        <v>2459552.4900000026</v>
      </c>
      <c r="F41" s="16">
        <f>9764/7</f>
        <v>1394.857142857143</v>
      </c>
      <c r="G41" s="15">
        <f t="shared" si="2"/>
        <v>251.9000911511678</v>
      </c>
    </row>
    <row r="42" spans="1:7" ht="12.75">
      <c r="A42" s="22">
        <f t="shared" si="1"/>
        <v>43764</v>
      </c>
      <c r="B42" s="15">
        <v>36338126.32000001</v>
      </c>
      <c r="C42" s="15">
        <v>335859.25</v>
      </c>
      <c r="D42" s="15">
        <f t="shared" si="0"/>
        <v>33756891.96</v>
      </c>
      <c r="E42" s="15">
        <v>2245375.1100000083</v>
      </c>
      <c r="F42" s="16">
        <f>9748/7</f>
        <v>1392.5714285714287</v>
      </c>
      <c r="G42" s="15">
        <f t="shared" si="2"/>
        <v>230.34213274517933</v>
      </c>
    </row>
    <row r="43" spans="1:7" ht="12.75">
      <c r="A43" s="22">
        <f t="shared" si="1"/>
        <v>43771</v>
      </c>
      <c r="B43" s="15">
        <v>38025436.11</v>
      </c>
      <c r="C43" s="15">
        <v>347375.93999999994</v>
      </c>
      <c r="D43" s="15">
        <f t="shared" si="0"/>
        <v>35161718.870000005</v>
      </c>
      <c r="E43" s="15">
        <v>2516341.299999995</v>
      </c>
      <c r="F43" s="16">
        <f>9814/7</f>
        <v>1402</v>
      </c>
      <c r="G43" s="15">
        <f t="shared" si="2"/>
        <v>256.4032300794778</v>
      </c>
    </row>
    <row r="44" spans="1:7" ht="12.75">
      <c r="A44" s="22">
        <f t="shared" si="1"/>
        <v>43778</v>
      </c>
      <c r="B44" s="15">
        <v>34938263.7</v>
      </c>
      <c r="C44" s="15">
        <v>317403.1</v>
      </c>
      <c r="D44" s="15">
        <f t="shared" si="0"/>
        <v>32300335.23</v>
      </c>
      <c r="E44" s="15">
        <v>2320525.37</v>
      </c>
      <c r="F44" s="16">
        <f>9220/7</f>
        <v>1317.142857142857</v>
      </c>
      <c r="G44" s="15">
        <f t="shared" si="2"/>
        <v>251.68387960954448</v>
      </c>
    </row>
    <row r="45" spans="1:7" ht="12.75">
      <c r="A45" s="22">
        <f t="shared" si="1"/>
        <v>43785</v>
      </c>
      <c r="B45" s="15">
        <v>31210775.67</v>
      </c>
      <c r="C45" s="15">
        <v>305924.52</v>
      </c>
      <c r="D45" s="15">
        <f t="shared" si="0"/>
        <v>28829362.78</v>
      </c>
      <c r="E45" s="15">
        <v>2075488.3700000024</v>
      </c>
      <c r="F45" s="16">
        <f>9100/7</f>
        <v>1300</v>
      </c>
      <c r="G45" s="15">
        <f t="shared" si="2"/>
        <v>228.07564505494534</v>
      </c>
    </row>
    <row r="46" spans="1:7" ht="12.75">
      <c r="A46" s="22">
        <f t="shared" si="1"/>
        <v>43792</v>
      </c>
      <c r="B46" s="15">
        <v>30573716.44</v>
      </c>
      <c r="C46" s="15">
        <v>307227.68</v>
      </c>
      <c r="D46" s="15">
        <f t="shared" si="0"/>
        <v>28223260.7</v>
      </c>
      <c r="E46" s="15">
        <v>2043228.0600000017</v>
      </c>
      <c r="F46" s="16">
        <f>9100/7</f>
        <v>1300</v>
      </c>
      <c r="G46" s="15">
        <f t="shared" si="2"/>
        <v>224.53055604395624</v>
      </c>
    </row>
    <row r="47" spans="1:7" ht="12.75">
      <c r="A47" s="22">
        <f t="shared" si="1"/>
        <v>43799</v>
      </c>
      <c r="B47" s="15">
        <v>32927060.15</v>
      </c>
      <c r="C47" s="15">
        <v>319581.98</v>
      </c>
      <c r="D47" s="15">
        <f t="shared" si="0"/>
        <v>30301894.549999997</v>
      </c>
      <c r="E47" s="15">
        <v>2305583.620000001</v>
      </c>
      <c r="F47" s="16">
        <f>9028/7</f>
        <v>1289.7142857142858</v>
      </c>
      <c r="G47" s="15">
        <f t="shared" si="2"/>
        <v>255.38143774922474</v>
      </c>
    </row>
    <row r="48" spans="1:7" ht="12.75">
      <c r="A48" s="22">
        <f t="shared" si="1"/>
        <v>43806</v>
      </c>
      <c r="B48" s="15">
        <v>24785789.18</v>
      </c>
      <c r="C48" s="15">
        <v>252596.95</v>
      </c>
      <c r="D48" s="15">
        <f t="shared" si="0"/>
        <v>22748961.490000002</v>
      </c>
      <c r="E48" s="15">
        <v>1784230.74</v>
      </c>
      <c r="F48" s="16">
        <f>9016/7</f>
        <v>1288</v>
      </c>
      <c r="G48" s="15">
        <f t="shared" si="2"/>
        <v>197.89604480922804</v>
      </c>
    </row>
    <row r="49" spans="1:7" ht="12.75">
      <c r="A49" s="22">
        <f t="shared" si="1"/>
        <v>43813</v>
      </c>
      <c r="B49" s="15">
        <v>31643614.83</v>
      </c>
      <c r="C49" s="15">
        <v>264337.11</v>
      </c>
      <c r="D49" s="15">
        <f t="shared" si="0"/>
        <v>29404297.01</v>
      </c>
      <c r="E49" s="15">
        <v>1974980.7099999972</v>
      </c>
      <c r="F49" s="16">
        <f>9016/7</f>
        <v>1288</v>
      </c>
      <c r="G49" s="15">
        <f t="shared" si="2"/>
        <v>219.05287377994642</v>
      </c>
    </row>
    <row r="50" spans="1:7" ht="12.75">
      <c r="A50" s="22">
        <f t="shared" si="1"/>
        <v>43820</v>
      </c>
      <c r="B50" s="15">
        <v>29049472.64</v>
      </c>
      <c r="C50" s="15">
        <v>344214.83</v>
      </c>
      <c r="D50" s="15">
        <f t="shared" si="0"/>
        <v>26858229.630000003</v>
      </c>
      <c r="E50" s="15">
        <v>1847028.18</v>
      </c>
      <c r="F50" s="16">
        <f>9220/7</f>
        <v>1317.142857142857</v>
      </c>
      <c r="G50" s="15">
        <f t="shared" si="2"/>
        <v>200.3284360086768</v>
      </c>
    </row>
    <row r="51" spans="1:7" ht="12.75">
      <c r="A51" s="22">
        <f t="shared" si="1"/>
        <v>43827</v>
      </c>
      <c r="B51" s="15">
        <v>37433601.53</v>
      </c>
      <c r="C51" s="15">
        <v>333892.9</v>
      </c>
      <c r="D51" s="15">
        <f t="shared" si="0"/>
        <v>34468579.27</v>
      </c>
      <c r="E51" s="15">
        <v>2631129.3599999985</v>
      </c>
      <c r="F51" s="16">
        <f>9704/7</f>
        <v>1386.2857142857142</v>
      </c>
      <c r="G51" s="15">
        <f t="shared" si="2"/>
        <v>271.1386397361911</v>
      </c>
    </row>
    <row r="52" spans="1:7" ht="12.75">
      <c r="A52" s="22">
        <f t="shared" si="1"/>
        <v>43834</v>
      </c>
      <c r="B52" s="15">
        <v>42524655.2</v>
      </c>
      <c r="C52" s="15">
        <v>368608.24</v>
      </c>
      <c r="D52" s="15">
        <f t="shared" si="0"/>
        <v>39371364.629999995</v>
      </c>
      <c r="E52" s="15">
        <v>2784682.330000004</v>
      </c>
      <c r="F52" s="16">
        <f>9639/7</f>
        <v>1377</v>
      </c>
      <c r="G52" s="15">
        <f t="shared" si="2"/>
        <v>288.8974302313522</v>
      </c>
    </row>
    <row r="53" spans="1:7" ht="12.75">
      <c r="A53" s="22">
        <f t="shared" si="1"/>
        <v>43841</v>
      </c>
      <c r="B53" s="15">
        <v>32790501.410000004</v>
      </c>
      <c r="C53" s="15">
        <v>313095.68000000005</v>
      </c>
      <c r="D53" s="15">
        <f t="shared" si="0"/>
        <v>30247269.17</v>
      </c>
      <c r="E53" s="15">
        <v>2230136.5600000042</v>
      </c>
      <c r="F53" s="16">
        <f>9639/7</f>
        <v>1377</v>
      </c>
      <c r="G53" s="15">
        <f t="shared" si="2"/>
        <v>231.36596742400707</v>
      </c>
    </row>
    <row r="54" spans="1:7" ht="12.75">
      <c r="A54" s="22">
        <f t="shared" si="1"/>
        <v>43848</v>
      </c>
      <c r="B54" s="15">
        <v>29675075.490000002</v>
      </c>
      <c r="C54" s="15">
        <v>325459.11000000004</v>
      </c>
      <c r="D54" s="15">
        <f t="shared" si="0"/>
        <v>27444010.160000004</v>
      </c>
      <c r="E54" s="15">
        <v>1905606.2200000004</v>
      </c>
      <c r="F54" s="16">
        <f>8671/7</f>
        <v>1238.7142857142858</v>
      </c>
      <c r="G54" s="15">
        <f t="shared" si="2"/>
        <v>219.76775689078542</v>
      </c>
    </row>
    <row r="55" spans="1:7" ht="12.75">
      <c r="A55" s="22">
        <f t="shared" si="1"/>
        <v>43855</v>
      </c>
      <c r="B55" s="15">
        <v>32989588.02</v>
      </c>
      <c r="C55" s="15">
        <v>332096.85</v>
      </c>
      <c r="D55" s="15">
        <f t="shared" si="0"/>
        <v>30326720.12</v>
      </c>
      <c r="E55" s="15">
        <v>2330771.0499999975</v>
      </c>
      <c r="F55" s="16">
        <f>8445/7</f>
        <v>1206.4285714285713</v>
      </c>
      <c r="G55" s="15">
        <f t="shared" si="2"/>
        <v>275.99420367081086</v>
      </c>
    </row>
    <row r="56" spans="1:7" ht="12.75">
      <c r="A56" s="22">
        <f t="shared" si="1"/>
        <v>43862</v>
      </c>
      <c r="B56" s="15">
        <v>33837907.49</v>
      </c>
      <c r="C56" s="15">
        <v>333919.33</v>
      </c>
      <c r="D56" s="15">
        <f t="shared" si="0"/>
        <v>31228079.910000004</v>
      </c>
      <c r="E56" s="15">
        <v>2275908.25</v>
      </c>
      <c r="F56" s="16">
        <f>8400/7</f>
        <v>1200</v>
      </c>
      <c r="G56" s="15">
        <f t="shared" si="2"/>
        <v>270.94145833333334</v>
      </c>
    </row>
    <row r="57" spans="1:7" ht="12.75">
      <c r="A57" s="22">
        <f t="shared" si="1"/>
        <v>43869</v>
      </c>
      <c r="B57" s="15">
        <v>29569735.200000003</v>
      </c>
      <c r="C57" s="15">
        <v>244880.83000000002</v>
      </c>
      <c r="D57" s="15">
        <f t="shared" si="0"/>
        <v>27313965.21</v>
      </c>
      <c r="E57" s="15">
        <v>2010889.1600000036</v>
      </c>
      <c r="F57" s="16">
        <f>8702/7</f>
        <v>1243.142857142857</v>
      </c>
      <c r="G57" s="15">
        <f t="shared" si="2"/>
        <v>231.08356239944882</v>
      </c>
    </row>
    <row r="58" spans="1:7" ht="12.75">
      <c r="A58" s="22">
        <f t="shared" si="1"/>
        <v>43876</v>
      </c>
      <c r="B58" s="15">
        <v>34097167.510000005</v>
      </c>
      <c r="C58" s="15">
        <v>346570.08999999997</v>
      </c>
      <c r="D58" s="15">
        <f t="shared" si="0"/>
        <v>31464562.659999996</v>
      </c>
      <c r="E58" s="15">
        <v>2286034.760000007</v>
      </c>
      <c r="F58" s="16">
        <f>8980/7</f>
        <v>1282.857142857143</v>
      </c>
      <c r="G58" s="15">
        <f t="shared" si="2"/>
        <v>254.5695723830743</v>
      </c>
    </row>
    <row r="59" spans="1:7" ht="12.75">
      <c r="A59" s="22">
        <f t="shared" si="1"/>
        <v>43883</v>
      </c>
      <c r="B59" s="15">
        <v>37795959.03</v>
      </c>
      <c r="C59" s="15">
        <v>398161.62000000005</v>
      </c>
      <c r="D59" s="15">
        <f t="shared" si="0"/>
        <v>34948722.7</v>
      </c>
      <c r="E59" s="15">
        <v>2449074.7100000028</v>
      </c>
      <c r="F59" s="16">
        <f>7865/7</f>
        <v>1123.5714285714287</v>
      </c>
      <c r="G59" s="15">
        <f t="shared" si="2"/>
        <v>311.3890286077562</v>
      </c>
    </row>
    <row r="60" spans="1:7" ht="12.75">
      <c r="A60" s="22">
        <f t="shared" si="1"/>
        <v>43890</v>
      </c>
      <c r="B60" s="15">
        <v>38513386.64</v>
      </c>
      <c r="C60" s="15">
        <v>351159.77</v>
      </c>
      <c r="D60" s="15">
        <f t="shared" si="0"/>
        <v>35424480.19</v>
      </c>
      <c r="E60" s="15">
        <v>2737746.680000001</v>
      </c>
      <c r="F60" s="16">
        <f>7455/7</f>
        <v>1065</v>
      </c>
      <c r="G60" s="15">
        <f t="shared" si="2"/>
        <v>367.23630851777347</v>
      </c>
    </row>
    <row r="61" spans="1:7" ht="12.75">
      <c r="A61" s="22">
        <f t="shared" si="1"/>
        <v>43897</v>
      </c>
      <c r="B61" s="15">
        <v>38884146.43</v>
      </c>
      <c r="C61" s="15">
        <v>341251.33</v>
      </c>
      <c r="D61" s="15">
        <f t="shared" si="0"/>
        <v>36119820.88</v>
      </c>
      <c r="E61" s="15">
        <v>2423074.22</v>
      </c>
      <c r="F61" s="16">
        <f>7431/7</f>
        <v>1061.5714285714287</v>
      </c>
      <c r="G61" s="15">
        <f t="shared" si="2"/>
        <v>326.07646615529535</v>
      </c>
    </row>
    <row r="62" spans="1:7" ht="12.75">
      <c r="A62" s="22">
        <f t="shared" si="1"/>
        <v>43904</v>
      </c>
      <c r="B62" s="15">
        <v>27551485.799999997</v>
      </c>
      <c r="C62" s="15">
        <v>274943.15</v>
      </c>
      <c r="D62" s="15">
        <f t="shared" si="0"/>
        <v>25268373.96</v>
      </c>
      <c r="E62" s="15">
        <v>2008168.6899999967</v>
      </c>
      <c r="F62" s="16">
        <f>7697/7</f>
        <v>1099.5714285714287</v>
      </c>
      <c r="G62" s="15">
        <f t="shared" si="2"/>
        <v>260.90277900480663</v>
      </c>
    </row>
    <row r="63" spans="1:7" ht="12.75">
      <c r="A63" s="22">
        <f t="shared" si="1"/>
        <v>43911</v>
      </c>
      <c r="B63" s="15">
        <v>4786227.25</v>
      </c>
      <c r="C63" s="15">
        <v>81134.15</v>
      </c>
      <c r="D63" s="15">
        <f t="shared" si="0"/>
        <v>4427623.96</v>
      </c>
      <c r="E63" s="15">
        <v>277469.14</v>
      </c>
      <c r="F63" s="16">
        <f>2386/2</f>
        <v>1193</v>
      </c>
      <c r="G63" s="15">
        <f>IF(ISBLANK(B63),"",E63/F63/2)</f>
        <v>116.29050293378039</v>
      </c>
    </row>
    <row r="64" ht="12.75">
      <c r="A64" s="22"/>
    </row>
    <row r="65" spans="1:7" ht="13.5" thickBot="1">
      <c r="A65" s="3" t="s">
        <v>8</v>
      </c>
      <c r="B65" s="17">
        <f>SUM(B12:B64)</f>
        <v>1845187736.0500004</v>
      </c>
      <c r="C65" s="17">
        <f>SUM(C12:C64)</f>
        <v>17505925.519999992</v>
      </c>
      <c r="D65" s="17">
        <f>SUM(D12:D64)</f>
        <v>1703535872.5500007</v>
      </c>
      <c r="E65" s="17">
        <f>SUM(E12:E64)</f>
        <v>124145937.98000006</v>
      </c>
      <c r="F65" s="24">
        <f>_xlfn.IFERROR(SUM(F12:F64)/COUNT(F12:F64)," ")</f>
        <v>1381.769230769231</v>
      </c>
      <c r="G65" s="17">
        <f>_xlfn.IFERROR(E65/SUM(F12:F64)/7," ")</f>
        <v>246.82867557121395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11" activePane="bottomLeft" state="frozen"/>
      <selection pane="topLeft" activeCell="B61" sqref="B61"/>
      <selection pane="bottomLeft" activeCell="A3" sqref="A3:G3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7" customFormat="1" ht="14.25" customHeight="1">
      <c r="A7" s="41" t="s">
        <v>36</v>
      </c>
      <c r="B7" s="42"/>
      <c r="C7" s="42"/>
      <c r="D7" s="42"/>
      <c r="E7" s="42"/>
      <c r="F7" s="42"/>
      <c r="G7" s="43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0</v>
      </c>
      <c r="C9" s="10" t="s">
        <v>25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13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43190</v>
      </c>
      <c r="B12" s="15">
        <v>37217135</v>
      </c>
      <c r="C12" s="15">
        <v>380957</v>
      </c>
      <c r="D12" s="15">
        <f aca="true" t="shared" si="0" ref="D12:D44">IF(ISBLANK(B12),"",B12-C12-E12)</f>
        <v>34295675</v>
      </c>
      <c r="E12" s="15">
        <v>2540503</v>
      </c>
      <c r="F12" s="16">
        <v>1706</v>
      </c>
      <c r="G12" s="15">
        <v>213</v>
      </c>
    </row>
    <row r="13" spans="1:7" ht="12.75">
      <c r="A13" s="22">
        <f aca="true" t="shared" si="1" ref="A13:A44">+A12+7</f>
        <v>43197</v>
      </c>
      <c r="B13" s="15">
        <v>37933205</v>
      </c>
      <c r="C13" s="15">
        <f>332560-63184</f>
        <v>269376</v>
      </c>
      <c r="D13" s="15">
        <f t="shared" si="0"/>
        <v>35045298</v>
      </c>
      <c r="E13" s="15">
        <v>2618531</v>
      </c>
      <c r="F13" s="16">
        <f aca="true" t="shared" si="2" ref="F13:F18">11942/7</f>
        <v>1706</v>
      </c>
      <c r="G13" s="15">
        <v>219</v>
      </c>
    </row>
    <row r="14" spans="1:7" ht="12.75">
      <c r="A14" s="22">
        <f t="shared" si="1"/>
        <v>43204</v>
      </c>
      <c r="B14" s="15">
        <v>36006159</v>
      </c>
      <c r="C14" s="15">
        <v>401234</v>
      </c>
      <c r="D14" s="15">
        <f t="shared" si="0"/>
        <v>33182939</v>
      </c>
      <c r="E14" s="15">
        <v>2421986</v>
      </c>
      <c r="F14" s="16">
        <f t="shared" si="2"/>
        <v>1706</v>
      </c>
      <c r="G14" s="15">
        <v>203</v>
      </c>
    </row>
    <row r="15" spans="1:7" ht="12.75">
      <c r="A15" s="22">
        <f t="shared" si="1"/>
        <v>43211</v>
      </c>
      <c r="B15" s="15">
        <v>36047824</v>
      </c>
      <c r="C15" s="15">
        <v>341847</v>
      </c>
      <c r="D15" s="15">
        <f t="shared" si="0"/>
        <v>33254668</v>
      </c>
      <c r="E15" s="15">
        <v>2451309</v>
      </c>
      <c r="F15" s="16">
        <f t="shared" si="2"/>
        <v>1706</v>
      </c>
      <c r="G15" s="15">
        <v>205</v>
      </c>
    </row>
    <row r="16" spans="1:7" ht="12.75">
      <c r="A16" s="22">
        <f t="shared" si="1"/>
        <v>43218</v>
      </c>
      <c r="B16" s="15">
        <v>37259109</v>
      </c>
      <c r="C16" s="15">
        <v>369617</v>
      </c>
      <c r="D16" s="15">
        <f t="shared" si="0"/>
        <v>34405121</v>
      </c>
      <c r="E16" s="15">
        <v>2484371</v>
      </c>
      <c r="F16" s="16">
        <f t="shared" si="2"/>
        <v>1706</v>
      </c>
      <c r="G16" s="15">
        <v>208</v>
      </c>
    </row>
    <row r="17" spans="1:7" ht="12.75">
      <c r="A17" s="22">
        <f t="shared" si="1"/>
        <v>43225</v>
      </c>
      <c r="B17" s="15">
        <v>37230727</v>
      </c>
      <c r="C17" s="15">
        <f>357154-503777</f>
        <v>-146623</v>
      </c>
      <c r="D17" s="15">
        <f t="shared" si="0"/>
        <v>34338650</v>
      </c>
      <c r="E17" s="15">
        <v>3038700</v>
      </c>
      <c r="F17" s="16">
        <f t="shared" si="2"/>
        <v>1706</v>
      </c>
      <c r="G17" s="15">
        <v>254</v>
      </c>
    </row>
    <row r="18" spans="1:7" ht="12.75">
      <c r="A18" s="22">
        <f t="shared" si="1"/>
        <v>43232</v>
      </c>
      <c r="B18" s="15">
        <v>35482135</v>
      </c>
      <c r="C18" s="15">
        <f>371682-558277</f>
        <v>-186595</v>
      </c>
      <c r="D18" s="15">
        <f t="shared" si="0"/>
        <v>32825335</v>
      </c>
      <c r="E18" s="15">
        <v>2843395</v>
      </c>
      <c r="F18" s="16">
        <f t="shared" si="2"/>
        <v>1706</v>
      </c>
      <c r="G18" s="15">
        <v>238</v>
      </c>
    </row>
    <row r="19" spans="1:7" ht="12.75">
      <c r="A19" s="22">
        <f t="shared" si="1"/>
        <v>43239</v>
      </c>
      <c r="B19" s="15">
        <v>37283863</v>
      </c>
      <c r="C19" s="15">
        <v>422840</v>
      </c>
      <c r="D19" s="15">
        <f t="shared" si="0"/>
        <v>34434386</v>
      </c>
      <c r="E19" s="15">
        <v>2426637</v>
      </c>
      <c r="F19" s="16">
        <f aca="true" t="shared" si="3" ref="F19:F24">11942/7</f>
        <v>1706</v>
      </c>
      <c r="G19" s="15">
        <v>203</v>
      </c>
    </row>
    <row r="20" spans="1:7" ht="12.75">
      <c r="A20" s="22">
        <f t="shared" si="1"/>
        <v>43246</v>
      </c>
      <c r="B20" s="15">
        <v>35011817</v>
      </c>
      <c r="C20" s="15">
        <v>349962</v>
      </c>
      <c r="D20" s="15">
        <f t="shared" si="0"/>
        <v>32216526</v>
      </c>
      <c r="E20" s="15">
        <v>2445329</v>
      </c>
      <c r="F20" s="16">
        <f t="shared" si="3"/>
        <v>1706</v>
      </c>
      <c r="G20" s="15">
        <v>205</v>
      </c>
    </row>
    <row r="21" spans="1:7" ht="12.75">
      <c r="A21" s="22">
        <f t="shared" si="1"/>
        <v>43253</v>
      </c>
      <c r="B21" s="15">
        <v>40815026</v>
      </c>
      <c r="C21" s="15">
        <v>419852</v>
      </c>
      <c r="D21" s="15">
        <f t="shared" si="0"/>
        <v>37564280</v>
      </c>
      <c r="E21" s="15">
        <v>2830894</v>
      </c>
      <c r="F21" s="16">
        <f t="shared" si="3"/>
        <v>1706</v>
      </c>
      <c r="G21" s="15">
        <v>237</v>
      </c>
    </row>
    <row r="22" spans="1:7" ht="12.75">
      <c r="A22" s="22">
        <f t="shared" si="1"/>
        <v>43260</v>
      </c>
      <c r="B22" s="15">
        <v>39028123</v>
      </c>
      <c r="C22" s="15">
        <f>399855-46580</f>
        <v>353275</v>
      </c>
      <c r="D22" s="15">
        <f t="shared" si="0"/>
        <v>35977022</v>
      </c>
      <c r="E22" s="15">
        <v>2697826</v>
      </c>
      <c r="F22" s="16">
        <f t="shared" si="3"/>
        <v>1706</v>
      </c>
      <c r="G22" s="15">
        <v>226</v>
      </c>
    </row>
    <row r="23" spans="1:7" ht="12.75">
      <c r="A23" s="22">
        <f t="shared" si="1"/>
        <v>43267</v>
      </c>
      <c r="B23" s="15">
        <v>36849860</v>
      </c>
      <c r="C23" s="15">
        <v>477127</v>
      </c>
      <c r="D23" s="15">
        <f t="shared" si="0"/>
        <v>33988756</v>
      </c>
      <c r="E23" s="15">
        <v>2383977</v>
      </c>
      <c r="F23" s="16">
        <f t="shared" si="3"/>
        <v>1706</v>
      </c>
      <c r="G23" s="15">
        <f>_xlfn.IFERROR((E23/F23/7)," ")</f>
        <v>199.62962652821972</v>
      </c>
    </row>
    <row r="24" spans="1:7" ht="12.75">
      <c r="A24" s="22">
        <f t="shared" si="1"/>
        <v>43274</v>
      </c>
      <c r="B24" s="15">
        <v>34972809</v>
      </c>
      <c r="C24" s="15">
        <v>360804</v>
      </c>
      <c r="D24" s="15">
        <f t="shared" si="0"/>
        <v>32327242</v>
      </c>
      <c r="E24" s="15">
        <v>2284763</v>
      </c>
      <c r="F24" s="16">
        <f t="shared" si="3"/>
        <v>1706</v>
      </c>
      <c r="G24" s="15">
        <f aca="true" t="shared" si="4" ref="G24:G37">_xlfn.IFERROR((E24/F24/7)," ")</f>
        <v>191.3216379165969</v>
      </c>
    </row>
    <row r="25" spans="1:7" ht="12.75">
      <c r="A25" s="22">
        <f t="shared" si="1"/>
        <v>43281</v>
      </c>
      <c r="B25" s="15">
        <v>39245906</v>
      </c>
      <c r="C25" s="15">
        <v>402951</v>
      </c>
      <c r="D25" s="15">
        <f t="shared" si="0"/>
        <v>36175187</v>
      </c>
      <c r="E25" s="15">
        <v>2667768</v>
      </c>
      <c r="F25" s="16">
        <f aca="true" t="shared" si="5" ref="F25:F30">11942/7</f>
        <v>1706</v>
      </c>
      <c r="G25" s="15">
        <f t="shared" si="4"/>
        <v>223.39373639256405</v>
      </c>
    </row>
    <row r="26" spans="1:7" ht="12.75">
      <c r="A26" s="22">
        <f t="shared" si="1"/>
        <v>43288</v>
      </c>
      <c r="B26" s="15">
        <v>42457283</v>
      </c>
      <c r="C26" s="15">
        <v>415447</v>
      </c>
      <c r="D26" s="15">
        <f t="shared" si="0"/>
        <v>39235433</v>
      </c>
      <c r="E26" s="15">
        <v>2806403</v>
      </c>
      <c r="F26" s="16">
        <f t="shared" si="5"/>
        <v>1706</v>
      </c>
      <c r="G26" s="15">
        <f t="shared" si="4"/>
        <v>235.00276335622175</v>
      </c>
    </row>
    <row r="27" spans="1:7" ht="12.75">
      <c r="A27" s="22">
        <f t="shared" si="1"/>
        <v>43295</v>
      </c>
      <c r="B27" s="15">
        <v>38446190</v>
      </c>
      <c r="C27" s="15">
        <f>465434-46360</f>
        <v>419074</v>
      </c>
      <c r="D27" s="15">
        <f t="shared" si="0"/>
        <v>35402082</v>
      </c>
      <c r="E27" s="15">
        <v>2625034</v>
      </c>
      <c r="F27" s="16">
        <f t="shared" si="5"/>
        <v>1706</v>
      </c>
      <c r="G27" s="15">
        <f t="shared" si="4"/>
        <v>219.81527382348014</v>
      </c>
    </row>
    <row r="28" spans="1:7" ht="12.75">
      <c r="A28" s="22">
        <f t="shared" si="1"/>
        <v>43302</v>
      </c>
      <c r="B28" s="15">
        <v>38835095</v>
      </c>
      <c r="C28" s="15">
        <v>443521</v>
      </c>
      <c r="D28" s="15">
        <f t="shared" si="0"/>
        <v>35902159</v>
      </c>
      <c r="E28" s="15">
        <v>2489415</v>
      </c>
      <c r="F28" s="16">
        <f t="shared" si="5"/>
        <v>1706</v>
      </c>
      <c r="G28" s="15">
        <f t="shared" si="4"/>
        <v>208.4588008708759</v>
      </c>
    </row>
    <row r="29" spans="1:7" ht="12.75">
      <c r="A29" s="22">
        <f t="shared" si="1"/>
        <v>43309</v>
      </c>
      <c r="B29" s="15">
        <v>42086535</v>
      </c>
      <c r="C29" s="15">
        <v>451753</v>
      </c>
      <c r="D29" s="15">
        <f t="shared" si="0"/>
        <v>38897796</v>
      </c>
      <c r="E29" s="15">
        <v>2736986</v>
      </c>
      <c r="F29" s="16">
        <f t="shared" si="5"/>
        <v>1706</v>
      </c>
      <c r="G29" s="15">
        <f t="shared" si="4"/>
        <v>229.189917936694</v>
      </c>
    </row>
    <row r="30" spans="1:7" ht="12.75">
      <c r="A30" s="22">
        <f t="shared" si="1"/>
        <v>43316</v>
      </c>
      <c r="B30" s="15">
        <v>42176431</v>
      </c>
      <c r="C30" s="15">
        <v>428809</v>
      </c>
      <c r="D30" s="15">
        <f t="shared" si="0"/>
        <v>38949405</v>
      </c>
      <c r="E30" s="15">
        <v>2798217</v>
      </c>
      <c r="F30" s="16">
        <f t="shared" si="5"/>
        <v>1706</v>
      </c>
      <c r="G30" s="15">
        <f t="shared" si="4"/>
        <v>234.31728353709596</v>
      </c>
    </row>
    <row r="31" spans="1:7" ht="12.75">
      <c r="A31" s="22">
        <f t="shared" si="1"/>
        <v>43323</v>
      </c>
      <c r="B31" s="15">
        <v>43278120</v>
      </c>
      <c r="C31" s="15">
        <f>457739-55844</f>
        <v>401895</v>
      </c>
      <c r="D31" s="15">
        <f t="shared" si="0"/>
        <v>40013954</v>
      </c>
      <c r="E31" s="15">
        <v>2862271</v>
      </c>
      <c r="F31" s="16">
        <f aca="true" t="shared" si="6" ref="F31:F38">11942/7</f>
        <v>1706</v>
      </c>
      <c r="G31" s="15">
        <f t="shared" si="4"/>
        <v>239.68104170155752</v>
      </c>
    </row>
    <row r="32" spans="1:7" ht="12.75">
      <c r="A32" s="22">
        <f t="shared" si="1"/>
        <v>43330</v>
      </c>
      <c r="B32" s="15">
        <v>45854253</v>
      </c>
      <c r="C32" s="15">
        <v>433365</v>
      </c>
      <c r="D32" s="15">
        <f t="shared" si="0"/>
        <v>42461367</v>
      </c>
      <c r="E32" s="15">
        <v>2959521</v>
      </c>
      <c r="F32" s="16">
        <f t="shared" si="6"/>
        <v>1706</v>
      </c>
      <c r="G32" s="15">
        <f t="shared" si="4"/>
        <v>247.82456874895325</v>
      </c>
    </row>
    <row r="33" spans="1:7" ht="12.75">
      <c r="A33" s="22">
        <f t="shared" si="1"/>
        <v>43337</v>
      </c>
      <c r="B33" s="15">
        <v>42649948</v>
      </c>
      <c r="C33" s="15">
        <v>446651</v>
      </c>
      <c r="D33" s="15">
        <f t="shared" si="0"/>
        <v>39357807</v>
      </c>
      <c r="E33" s="15">
        <v>2845490</v>
      </c>
      <c r="F33" s="16">
        <f t="shared" si="6"/>
        <v>1706</v>
      </c>
      <c r="G33" s="15">
        <f t="shared" si="4"/>
        <v>238.27583319376987</v>
      </c>
    </row>
    <row r="34" spans="1:7" ht="12.75">
      <c r="A34" s="22">
        <f t="shared" si="1"/>
        <v>43344</v>
      </c>
      <c r="B34" s="15">
        <v>41053101</v>
      </c>
      <c r="C34" s="15">
        <v>429176</v>
      </c>
      <c r="D34" s="15">
        <f t="shared" si="0"/>
        <v>37970433</v>
      </c>
      <c r="E34" s="15">
        <v>2653492</v>
      </c>
      <c r="F34" s="16">
        <f t="shared" si="6"/>
        <v>1706</v>
      </c>
      <c r="G34" s="15">
        <f t="shared" si="4"/>
        <v>222.19829174342655</v>
      </c>
    </row>
    <row r="35" spans="1:7" ht="12.75">
      <c r="A35" s="22">
        <f t="shared" si="1"/>
        <v>43351</v>
      </c>
      <c r="B35" s="15">
        <v>41241019</v>
      </c>
      <c r="C35" s="15">
        <f>434021-49591</f>
        <v>384430</v>
      </c>
      <c r="D35" s="15">
        <f t="shared" si="0"/>
        <v>38330731</v>
      </c>
      <c r="E35" s="15">
        <v>2525858</v>
      </c>
      <c r="F35" s="16">
        <f t="shared" si="6"/>
        <v>1706</v>
      </c>
      <c r="G35" s="15">
        <f t="shared" si="4"/>
        <v>211.51046725841567</v>
      </c>
    </row>
    <row r="36" spans="1:7" ht="12.75">
      <c r="A36" s="22">
        <f t="shared" si="1"/>
        <v>43358</v>
      </c>
      <c r="B36" s="15">
        <v>35872536</v>
      </c>
      <c r="C36" s="15">
        <v>447648</v>
      </c>
      <c r="D36" s="15">
        <f t="shared" si="0"/>
        <v>33151451</v>
      </c>
      <c r="E36" s="15">
        <v>2273437</v>
      </c>
      <c r="F36" s="16">
        <f t="shared" si="6"/>
        <v>1706</v>
      </c>
      <c r="G36" s="15">
        <f t="shared" si="4"/>
        <v>190.3732205660693</v>
      </c>
    </row>
    <row r="37" spans="1:7" ht="12.75">
      <c r="A37" s="22">
        <f t="shared" si="1"/>
        <v>43365</v>
      </c>
      <c r="B37" s="15">
        <v>36890404</v>
      </c>
      <c r="C37" s="15">
        <v>443971</v>
      </c>
      <c r="D37" s="15">
        <f t="shared" si="0"/>
        <v>34114711</v>
      </c>
      <c r="E37" s="15">
        <v>2331722</v>
      </c>
      <c r="F37" s="16">
        <f t="shared" si="6"/>
        <v>1706</v>
      </c>
      <c r="G37" s="15">
        <f t="shared" si="4"/>
        <v>195.25389382013063</v>
      </c>
    </row>
    <row r="38" spans="1:7" ht="12.75">
      <c r="A38" s="22">
        <f t="shared" si="1"/>
        <v>43372</v>
      </c>
      <c r="B38" s="15">
        <v>36846927.220000006</v>
      </c>
      <c r="C38" s="15">
        <v>373908.51</v>
      </c>
      <c r="D38" s="15">
        <f t="shared" si="0"/>
        <v>34104596.41000001</v>
      </c>
      <c r="E38" s="15">
        <v>2368422.2999999993</v>
      </c>
      <c r="F38" s="16">
        <f t="shared" si="6"/>
        <v>1706</v>
      </c>
      <c r="G38" s="15">
        <f aca="true" t="shared" si="7" ref="G38:G47">_xlfn.IFERROR((E38/F38/7)," ")</f>
        <v>198.3271060123932</v>
      </c>
    </row>
    <row r="39" spans="1:7" ht="12.75">
      <c r="A39" s="22">
        <f t="shared" si="1"/>
        <v>43379</v>
      </c>
      <c r="B39" s="15">
        <v>34164173</v>
      </c>
      <c r="C39" s="15">
        <v>354337</v>
      </c>
      <c r="D39" s="15">
        <f t="shared" si="0"/>
        <v>31498269</v>
      </c>
      <c r="E39" s="15">
        <v>2311567</v>
      </c>
      <c r="F39" s="16">
        <f aca="true" t="shared" si="8" ref="F39:F44">11942/7</f>
        <v>1706</v>
      </c>
      <c r="G39" s="15">
        <f t="shared" si="7"/>
        <v>193.56615307318705</v>
      </c>
    </row>
    <row r="40" spans="1:7" ht="12.75">
      <c r="A40" s="22">
        <f t="shared" si="1"/>
        <v>43386</v>
      </c>
      <c r="B40" s="15">
        <v>35205646</v>
      </c>
      <c r="C40" s="15">
        <f>416536-57040</f>
        <v>359496</v>
      </c>
      <c r="D40" s="15">
        <f t="shared" si="0"/>
        <v>32464761</v>
      </c>
      <c r="E40" s="15">
        <v>2381389</v>
      </c>
      <c r="F40" s="16">
        <f t="shared" si="8"/>
        <v>1706</v>
      </c>
      <c r="G40" s="15">
        <f t="shared" si="7"/>
        <v>199.41291240998157</v>
      </c>
    </row>
    <row r="41" spans="1:7" ht="12.75">
      <c r="A41" s="22">
        <f t="shared" si="1"/>
        <v>43393</v>
      </c>
      <c r="B41" s="15">
        <v>33342432</v>
      </c>
      <c r="C41" s="15">
        <v>343590</v>
      </c>
      <c r="D41" s="15">
        <f t="shared" si="0"/>
        <v>30926114</v>
      </c>
      <c r="E41" s="15">
        <v>2072728</v>
      </c>
      <c r="F41" s="16">
        <f t="shared" si="8"/>
        <v>1706</v>
      </c>
      <c r="G41" s="15">
        <f t="shared" si="7"/>
        <v>173.56623681125438</v>
      </c>
    </row>
    <row r="42" spans="1:7" ht="12.75">
      <c r="A42" s="22">
        <f t="shared" si="1"/>
        <v>43400</v>
      </c>
      <c r="B42" s="15">
        <v>32304750</v>
      </c>
      <c r="C42" s="15">
        <v>352118</v>
      </c>
      <c r="D42" s="15">
        <f t="shared" si="0"/>
        <v>29750709</v>
      </c>
      <c r="E42" s="15">
        <v>2201923</v>
      </c>
      <c r="F42" s="16">
        <f t="shared" si="8"/>
        <v>1706</v>
      </c>
      <c r="G42" s="15">
        <f t="shared" si="7"/>
        <v>184.38477641936024</v>
      </c>
    </row>
    <row r="43" spans="1:7" ht="12.75">
      <c r="A43" s="22">
        <f t="shared" si="1"/>
        <v>43407</v>
      </c>
      <c r="B43" s="15">
        <v>34267657</v>
      </c>
      <c r="C43" s="15">
        <v>364366</v>
      </c>
      <c r="D43" s="15">
        <f t="shared" si="0"/>
        <v>31724538</v>
      </c>
      <c r="E43" s="15">
        <v>2178753</v>
      </c>
      <c r="F43" s="16">
        <f t="shared" si="8"/>
        <v>1706</v>
      </c>
      <c r="G43" s="15">
        <f t="shared" si="7"/>
        <v>182.4445653994306</v>
      </c>
    </row>
    <row r="44" spans="1:7" ht="12.75">
      <c r="A44" s="22">
        <f t="shared" si="1"/>
        <v>43414</v>
      </c>
      <c r="B44" s="15">
        <v>31320955</v>
      </c>
      <c r="C44" s="15">
        <f>315111-51630</f>
        <v>263481</v>
      </c>
      <c r="D44" s="15">
        <f t="shared" si="0"/>
        <v>28975724</v>
      </c>
      <c r="E44" s="15">
        <v>2081750</v>
      </c>
      <c r="F44" s="16">
        <f t="shared" si="8"/>
        <v>1706</v>
      </c>
      <c r="G44" s="15">
        <f t="shared" si="7"/>
        <v>174.32172165466423</v>
      </c>
    </row>
    <row r="45" spans="1:7" ht="12.75">
      <c r="A45" s="22">
        <f aca="true" t="shared" si="9" ref="A45:A63">+A44+7</f>
        <v>43421</v>
      </c>
      <c r="B45" s="15">
        <v>28943945</v>
      </c>
      <c r="C45" s="15">
        <v>306374</v>
      </c>
      <c r="D45" s="15">
        <f aca="true" t="shared" si="10" ref="D45:D63">IF(ISBLANK(B45),"",B45-C45-E45)</f>
        <v>26700062</v>
      </c>
      <c r="E45" s="15">
        <v>1937509</v>
      </c>
      <c r="F45" s="16">
        <f aca="true" t="shared" si="11" ref="F45:F50">11942/7</f>
        <v>1706</v>
      </c>
      <c r="G45" s="15">
        <f t="shared" si="7"/>
        <v>162.24325908558032</v>
      </c>
    </row>
    <row r="46" spans="1:7" ht="12.75">
      <c r="A46" s="22">
        <f t="shared" si="9"/>
        <v>43428</v>
      </c>
      <c r="B46" s="15">
        <v>30186886</v>
      </c>
      <c r="C46" s="15">
        <v>348892</v>
      </c>
      <c r="D46" s="15">
        <f t="shared" si="10"/>
        <v>27855702</v>
      </c>
      <c r="E46" s="15">
        <v>1982292</v>
      </c>
      <c r="F46" s="16">
        <f t="shared" si="11"/>
        <v>1706</v>
      </c>
      <c r="G46" s="15">
        <f t="shared" si="7"/>
        <v>165.99330095461397</v>
      </c>
    </row>
    <row r="47" spans="1:7" ht="12.75">
      <c r="A47" s="22">
        <f t="shared" si="9"/>
        <v>43435</v>
      </c>
      <c r="B47" s="15">
        <v>29590563</v>
      </c>
      <c r="C47" s="15">
        <v>329098</v>
      </c>
      <c r="D47" s="15">
        <f t="shared" si="10"/>
        <v>27355180</v>
      </c>
      <c r="E47" s="15">
        <v>1906285</v>
      </c>
      <c r="F47" s="16">
        <f t="shared" si="11"/>
        <v>1706</v>
      </c>
      <c r="G47" s="15">
        <f t="shared" si="7"/>
        <v>159.62862167141182</v>
      </c>
    </row>
    <row r="48" spans="1:7" ht="12.75">
      <c r="A48" s="22">
        <f t="shared" si="9"/>
        <v>43442</v>
      </c>
      <c r="B48" s="15">
        <v>32406212.86</v>
      </c>
      <c r="C48" s="15">
        <v>332731.37</v>
      </c>
      <c r="D48" s="15">
        <f t="shared" si="10"/>
        <v>29961704.31</v>
      </c>
      <c r="E48" s="15">
        <v>2111777.18</v>
      </c>
      <c r="F48" s="16">
        <f t="shared" si="11"/>
        <v>1706</v>
      </c>
      <c r="G48" s="15">
        <f aca="true" t="shared" si="12" ref="G48:G63">_xlfn.IFERROR((E48/F48/7)," ")</f>
        <v>176.83613967509632</v>
      </c>
    </row>
    <row r="49" spans="1:7" ht="12.75">
      <c r="A49" s="22">
        <f t="shared" si="9"/>
        <v>43449</v>
      </c>
      <c r="B49" s="15">
        <v>32143737</v>
      </c>
      <c r="C49" s="15">
        <f>356925-46650</f>
        <v>310275</v>
      </c>
      <c r="D49" s="15">
        <f t="shared" si="10"/>
        <v>29795440</v>
      </c>
      <c r="E49" s="15">
        <v>2038022</v>
      </c>
      <c r="F49" s="16">
        <f t="shared" si="11"/>
        <v>1706</v>
      </c>
      <c r="G49" s="15">
        <f t="shared" si="12"/>
        <v>170.66002344665887</v>
      </c>
    </row>
    <row r="50" spans="1:7" ht="12.75">
      <c r="A50" s="22">
        <f t="shared" si="9"/>
        <v>43456</v>
      </c>
      <c r="B50" s="15">
        <v>27857005</v>
      </c>
      <c r="C50" s="15">
        <v>289687</v>
      </c>
      <c r="D50" s="15">
        <f t="shared" si="10"/>
        <v>25713155</v>
      </c>
      <c r="E50" s="15">
        <v>1854163</v>
      </c>
      <c r="F50" s="16">
        <f t="shared" si="11"/>
        <v>1706</v>
      </c>
      <c r="G50" s="15">
        <f t="shared" si="12"/>
        <v>155.264026126277</v>
      </c>
    </row>
    <row r="51" spans="1:7" ht="12.75">
      <c r="A51" s="22">
        <f t="shared" si="9"/>
        <v>43463</v>
      </c>
      <c r="B51" s="15">
        <v>35194946</v>
      </c>
      <c r="C51" s="15">
        <v>358749</v>
      </c>
      <c r="D51" s="15">
        <f t="shared" si="10"/>
        <v>32494565</v>
      </c>
      <c r="E51" s="15">
        <v>2341632</v>
      </c>
      <c r="F51" s="16">
        <f>11942/7</f>
        <v>1706</v>
      </c>
      <c r="G51" s="15">
        <f t="shared" si="12"/>
        <v>196.0837380673254</v>
      </c>
    </row>
    <row r="52" spans="1:7" ht="12.75">
      <c r="A52" s="22">
        <f t="shared" si="9"/>
        <v>43470</v>
      </c>
      <c r="B52" s="15">
        <v>41140755</v>
      </c>
      <c r="C52" s="15">
        <v>367502</v>
      </c>
      <c r="D52" s="15">
        <f t="shared" si="10"/>
        <v>37940104</v>
      </c>
      <c r="E52" s="15">
        <v>2833149</v>
      </c>
      <c r="F52" s="16">
        <f>11942/7</f>
        <v>1706</v>
      </c>
      <c r="G52" s="15">
        <f t="shared" si="12"/>
        <v>237.24242170490703</v>
      </c>
    </row>
    <row r="53" spans="1:7" ht="12.75">
      <c r="A53" s="22">
        <f t="shared" si="9"/>
        <v>43477</v>
      </c>
      <c r="B53" s="15">
        <v>31064902</v>
      </c>
      <c r="C53" s="15">
        <f>356665-43593</f>
        <v>313072</v>
      </c>
      <c r="D53" s="15">
        <f t="shared" si="10"/>
        <v>28713508</v>
      </c>
      <c r="E53" s="15">
        <v>2038322</v>
      </c>
      <c r="F53" s="16">
        <f>11264/7</f>
        <v>1609.142857142857</v>
      </c>
      <c r="G53" s="15">
        <f t="shared" si="12"/>
        <v>180.958984375</v>
      </c>
    </row>
    <row r="54" spans="1:7" ht="12.75">
      <c r="A54" s="22">
        <f t="shared" si="9"/>
        <v>43484</v>
      </c>
      <c r="B54" s="15">
        <v>27690386</v>
      </c>
      <c r="C54" s="15">
        <v>295214</v>
      </c>
      <c r="D54" s="15">
        <f t="shared" si="10"/>
        <v>25596853</v>
      </c>
      <c r="E54" s="15">
        <v>1798319</v>
      </c>
      <c r="F54" s="16">
        <f aca="true" t="shared" si="13" ref="F54:F59">11151/7</f>
        <v>1593</v>
      </c>
      <c r="G54" s="15">
        <f t="shared" si="12"/>
        <v>161.26975159178548</v>
      </c>
    </row>
    <row r="55" spans="1:7" ht="12.75">
      <c r="A55" s="22">
        <f t="shared" si="9"/>
        <v>43491</v>
      </c>
      <c r="B55" s="15">
        <v>25919013</v>
      </c>
      <c r="C55" s="15">
        <v>257053</v>
      </c>
      <c r="D55" s="15">
        <f t="shared" si="10"/>
        <v>23874646</v>
      </c>
      <c r="E55" s="15">
        <v>1787314</v>
      </c>
      <c r="F55" s="16">
        <f t="shared" si="13"/>
        <v>1593</v>
      </c>
      <c r="G55" s="15">
        <f t="shared" si="12"/>
        <v>160.28284458792933</v>
      </c>
    </row>
    <row r="56" spans="1:7" ht="12.75">
      <c r="A56" s="22">
        <f t="shared" si="9"/>
        <v>43498</v>
      </c>
      <c r="B56" s="15">
        <v>29530315</v>
      </c>
      <c r="C56" s="15">
        <v>282092</v>
      </c>
      <c r="D56" s="15">
        <f t="shared" si="10"/>
        <v>27198400</v>
      </c>
      <c r="E56" s="15">
        <v>2049823</v>
      </c>
      <c r="F56" s="16">
        <f t="shared" si="13"/>
        <v>1593</v>
      </c>
      <c r="G56" s="15">
        <f t="shared" si="12"/>
        <v>183.8241413326159</v>
      </c>
    </row>
    <row r="57" spans="1:7" ht="12.75">
      <c r="A57" s="22">
        <f t="shared" si="9"/>
        <v>43505</v>
      </c>
      <c r="B57" s="15">
        <v>34346622</v>
      </c>
      <c r="C57" s="15">
        <v>370005</v>
      </c>
      <c r="D57" s="15">
        <f t="shared" si="10"/>
        <v>31656258</v>
      </c>
      <c r="E57" s="15">
        <v>2320359</v>
      </c>
      <c r="F57" s="16">
        <f t="shared" si="13"/>
        <v>1593</v>
      </c>
      <c r="G57" s="15">
        <f t="shared" si="12"/>
        <v>208.08528383104655</v>
      </c>
    </row>
    <row r="58" spans="1:7" ht="12.75">
      <c r="A58" s="22">
        <f t="shared" si="9"/>
        <v>43512</v>
      </c>
      <c r="B58" s="15">
        <v>33774647</v>
      </c>
      <c r="C58" s="15">
        <f>325370-65670</f>
        <v>259700</v>
      </c>
      <c r="D58" s="15">
        <f t="shared" si="10"/>
        <v>31097551</v>
      </c>
      <c r="E58" s="15">
        <v>2417396</v>
      </c>
      <c r="F58" s="16">
        <f t="shared" si="13"/>
        <v>1593</v>
      </c>
      <c r="G58" s="15">
        <f t="shared" si="12"/>
        <v>216.78737332974623</v>
      </c>
    </row>
    <row r="59" spans="1:7" ht="12.75">
      <c r="A59" s="22">
        <f t="shared" si="9"/>
        <v>43519</v>
      </c>
      <c r="B59" s="15">
        <v>37506011</v>
      </c>
      <c r="C59" s="15">
        <v>357790</v>
      </c>
      <c r="D59" s="15">
        <f t="shared" si="10"/>
        <v>34597885</v>
      </c>
      <c r="E59" s="15">
        <v>2550336</v>
      </c>
      <c r="F59" s="16">
        <f t="shared" si="13"/>
        <v>1593</v>
      </c>
      <c r="G59" s="15">
        <f t="shared" si="12"/>
        <v>228.70917406510625</v>
      </c>
    </row>
    <row r="60" spans="1:7" ht="12.75">
      <c r="A60" s="22">
        <f t="shared" si="9"/>
        <v>43526</v>
      </c>
      <c r="B60" s="15">
        <v>34883528</v>
      </c>
      <c r="C60" s="15">
        <v>316626</v>
      </c>
      <c r="D60" s="15">
        <f t="shared" si="10"/>
        <v>32133392</v>
      </c>
      <c r="E60" s="15">
        <v>2433510</v>
      </c>
      <c r="F60" s="16">
        <f>11151/7</f>
        <v>1593</v>
      </c>
      <c r="G60" s="15">
        <f t="shared" si="12"/>
        <v>218.23244552058114</v>
      </c>
    </row>
    <row r="61" spans="1:7" ht="12.75">
      <c r="A61" s="22">
        <f t="shared" si="9"/>
        <v>43533</v>
      </c>
      <c r="B61" s="15">
        <v>36203007</v>
      </c>
      <c r="C61" s="15">
        <v>341281</v>
      </c>
      <c r="D61" s="15">
        <f t="shared" si="10"/>
        <v>33490209</v>
      </c>
      <c r="E61" s="15">
        <v>2371517</v>
      </c>
      <c r="F61" s="16">
        <f>11151/7</f>
        <v>1593</v>
      </c>
      <c r="G61" s="15">
        <f t="shared" si="12"/>
        <v>212.67303380862703</v>
      </c>
    </row>
    <row r="62" spans="1:7" ht="12.75">
      <c r="A62" s="22">
        <f t="shared" si="9"/>
        <v>43540</v>
      </c>
      <c r="B62" s="15">
        <v>36571313</v>
      </c>
      <c r="C62" s="15">
        <f>349605-42772</f>
        <v>306833</v>
      </c>
      <c r="D62" s="15">
        <f t="shared" si="10"/>
        <v>33867103</v>
      </c>
      <c r="E62" s="15">
        <v>2397377</v>
      </c>
      <c r="F62" s="16">
        <f>11151/7</f>
        <v>1593</v>
      </c>
      <c r="G62" s="15">
        <f t="shared" si="12"/>
        <v>214.9921083310914</v>
      </c>
    </row>
    <row r="63" spans="1:7" ht="12.75">
      <c r="A63" s="22">
        <f t="shared" si="9"/>
        <v>43547</v>
      </c>
      <c r="B63" s="15">
        <v>35628100</v>
      </c>
      <c r="C63" s="15">
        <v>321728</v>
      </c>
      <c r="D63" s="15">
        <f t="shared" si="10"/>
        <v>32899233</v>
      </c>
      <c r="E63" s="15">
        <v>2407139</v>
      </c>
      <c r="F63" s="16">
        <f>11151/7</f>
        <v>1593</v>
      </c>
      <c r="G63" s="15">
        <f t="shared" si="12"/>
        <v>215.86754551161332</v>
      </c>
    </row>
    <row r="64" ht="12.75">
      <c r="A64" s="22"/>
    </row>
    <row r="65" spans="1:7" ht="13.5" thickBot="1">
      <c r="A65" s="3" t="s">
        <v>8</v>
      </c>
      <c r="B65" s="17">
        <f>SUM(B12:B64)</f>
        <v>1869259047.08</v>
      </c>
      <c r="C65" s="17">
        <f>SUM(C12:C64)</f>
        <v>17838362.88</v>
      </c>
      <c r="D65" s="17">
        <f>SUM(D12:D64)</f>
        <v>1726204075.7199998</v>
      </c>
      <c r="E65" s="17">
        <f>SUM(E12:E64)</f>
        <v>125216608.48</v>
      </c>
      <c r="F65" s="24">
        <f>SUM(F12:F64)/COUNT(F12:F64)</f>
        <v>1682.4065934065934</v>
      </c>
      <c r="G65" s="17">
        <f>+E65/SUM(F12:F64)/7</f>
        <v>204.46999732199427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7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54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35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42826</v>
      </c>
      <c r="B13" s="15">
        <v>43221227</v>
      </c>
      <c r="C13" s="15">
        <v>531309.75</v>
      </c>
      <c r="D13" s="15">
        <f>+B13-C13-E13</f>
        <v>39831012.25</v>
      </c>
      <c r="E13" s="15">
        <v>2858905</v>
      </c>
      <c r="F13" s="16">
        <f>11936/7</f>
        <v>1705.142857142857</v>
      </c>
      <c r="G13" s="15">
        <v>240</v>
      </c>
    </row>
    <row r="14" spans="1:7" ht="12.75">
      <c r="A14" s="22">
        <f aca="true" t="shared" si="0" ref="A14:A64">+A13+7</f>
        <v>42833</v>
      </c>
      <c r="B14" s="15">
        <v>42817467</v>
      </c>
      <c r="C14" s="15">
        <v>532497.51</v>
      </c>
      <c r="D14" s="15">
        <f>IF(ISBLANK(B14),"",B14-C14-E14)</f>
        <v>39471391.49</v>
      </c>
      <c r="E14" s="15">
        <v>2813578</v>
      </c>
      <c r="F14" s="16">
        <f>11956/7</f>
        <v>1708</v>
      </c>
      <c r="G14" s="15">
        <v>235</v>
      </c>
    </row>
    <row r="15" spans="1:7" ht="12.75">
      <c r="A15" s="22">
        <f t="shared" si="0"/>
        <v>42840</v>
      </c>
      <c r="B15" s="15">
        <v>39624450</v>
      </c>
      <c r="C15" s="15">
        <f>503365.29-42080</f>
        <v>461285.29</v>
      </c>
      <c r="D15" s="15">
        <f>IF(ISBLANK(B15),"",B15-C15-E15)</f>
        <v>36519721.71</v>
      </c>
      <c r="E15" s="15">
        <v>2643443</v>
      </c>
      <c r="F15" s="16">
        <v>1708</v>
      </c>
      <c r="G15" s="15">
        <v>221</v>
      </c>
    </row>
    <row r="16" spans="1:7" ht="12.75">
      <c r="A16" s="22">
        <f t="shared" si="0"/>
        <v>42847</v>
      </c>
      <c r="B16" s="15">
        <v>41578876</v>
      </c>
      <c r="C16" s="15">
        <v>481837.03</v>
      </c>
      <c r="D16" s="15">
        <f aca="true" t="shared" si="1" ref="D16:D64">IF(ISBLANK(B16),"",B16-C16-E16)</f>
        <v>38351068.97</v>
      </c>
      <c r="E16" s="15">
        <v>2745970</v>
      </c>
      <c r="F16" s="16">
        <f aca="true" t="shared" si="2" ref="F16:F21">11956/7</f>
        <v>1708</v>
      </c>
      <c r="G16" s="15">
        <v>230</v>
      </c>
    </row>
    <row r="17" spans="1:7" ht="12.75">
      <c r="A17" s="22">
        <f t="shared" si="0"/>
        <v>42854</v>
      </c>
      <c r="B17" s="15">
        <v>41334941</v>
      </c>
      <c r="C17" s="15">
        <v>516675.78</v>
      </c>
      <c r="D17" s="15">
        <f t="shared" si="1"/>
        <v>38048899.22</v>
      </c>
      <c r="E17" s="15">
        <v>2769366</v>
      </c>
      <c r="F17" s="16">
        <f t="shared" si="2"/>
        <v>1708</v>
      </c>
      <c r="G17" s="15">
        <v>232</v>
      </c>
    </row>
    <row r="18" spans="1:7" ht="12.75">
      <c r="A18" s="22">
        <f t="shared" si="0"/>
        <v>42861</v>
      </c>
      <c r="B18" s="15">
        <v>43016375</v>
      </c>
      <c r="C18" s="15">
        <v>484216.29</v>
      </c>
      <c r="D18" s="15">
        <f t="shared" si="1"/>
        <v>39509371.71</v>
      </c>
      <c r="E18" s="15">
        <v>3022787</v>
      </c>
      <c r="F18" s="16">
        <f t="shared" si="2"/>
        <v>1708</v>
      </c>
      <c r="G18" s="15">
        <v>253</v>
      </c>
    </row>
    <row r="19" spans="1:7" ht="12.75">
      <c r="A19" s="22">
        <f t="shared" si="0"/>
        <v>42868</v>
      </c>
      <c r="B19" s="15">
        <v>40214134</v>
      </c>
      <c r="C19" s="15">
        <f>487325.99-51646</f>
        <v>435679.99</v>
      </c>
      <c r="D19" s="15">
        <f t="shared" si="1"/>
        <v>37115124.01</v>
      </c>
      <c r="E19" s="15">
        <v>2663330</v>
      </c>
      <c r="F19" s="16">
        <f t="shared" si="2"/>
        <v>1708</v>
      </c>
      <c r="G19" s="15">
        <v>223</v>
      </c>
    </row>
    <row r="20" spans="1:7" ht="12.75">
      <c r="A20" s="22">
        <f t="shared" si="0"/>
        <v>42875</v>
      </c>
      <c r="B20" s="15">
        <v>39990029</v>
      </c>
      <c r="C20" s="15">
        <v>505685.71</v>
      </c>
      <c r="D20" s="15">
        <f t="shared" si="1"/>
        <v>36865088.29</v>
      </c>
      <c r="E20" s="15">
        <v>2619255</v>
      </c>
      <c r="F20" s="16">
        <f t="shared" si="2"/>
        <v>1708</v>
      </c>
      <c r="G20" s="15">
        <v>219</v>
      </c>
    </row>
    <row r="21" spans="1:7" ht="12.75">
      <c r="A21" s="22">
        <f t="shared" si="0"/>
        <v>42882</v>
      </c>
      <c r="B21" s="15">
        <v>39174244</v>
      </c>
      <c r="C21" s="15">
        <v>467052.07</v>
      </c>
      <c r="D21" s="15">
        <f t="shared" si="1"/>
        <v>36000193.93</v>
      </c>
      <c r="E21" s="15">
        <v>2706998</v>
      </c>
      <c r="F21" s="16">
        <f t="shared" si="2"/>
        <v>1708</v>
      </c>
      <c r="G21" s="15">
        <v>226</v>
      </c>
    </row>
    <row r="22" spans="1:7" ht="12.75">
      <c r="A22" s="22">
        <f t="shared" si="0"/>
        <v>42889</v>
      </c>
      <c r="B22" s="15">
        <v>44257376</v>
      </c>
      <c r="C22" s="15">
        <v>533601.55</v>
      </c>
      <c r="D22" s="15">
        <f t="shared" si="1"/>
        <v>40788722.45</v>
      </c>
      <c r="E22" s="15">
        <v>2935052</v>
      </c>
      <c r="F22" s="16">
        <f>11956/7</f>
        <v>1708</v>
      </c>
      <c r="G22" s="15">
        <v>245</v>
      </c>
    </row>
    <row r="23" spans="1:7" ht="12.75">
      <c r="A23" s="22">
        <f t="shared" si="0"/>
        <v>42896</v>
      </c>
      <c r="B23" s="15">
        <v>40724589</v>
      </c>
      <c r="C23" s="15">
        <v>422480.86</v>
      </c>
      <c r="D23" s="15">
        <f t="shared" si="1"/>
        <v>37587835.14</v>
      </c>
      <c r="E23" s="15">
        <v>2714273</v>
      </c>
      <c r="F23" s="16">
        <v>1708</v>
      </c>
      <c r="G23" s="15">
        <v>227</v>
      </c>
    </row>
    <row r="24" spans="1:7" ht="12.75">
      <c r="A24" s="22">
        <f t="shared" si="0"/>
        <v>42903</v>
      </c>
      <c r="B24" s="15">
        <v>38413779</v>
      </c>
      <c r="C24" s="15">
        <f>414071.91-67640</f>
        <v>346431.91</v>
      </c>
      <c r="D24" s="15">
        <f t="shared" si="1"/>
        <v>35491986.09</v>
      </c>
      <c r="E24" s="15">
        <v>2575361</v>
      </c>
      <c r="F24" s="16">
        <f>11956/7</f>
        <v>1708</v>
      </c>
      <c r="G24" s="15">
        <v>215</v>
      </c>
    </row>
    <row r="25" spans="1:7" ht="12.75">
      <c r="A25" s="22">
        <f t="shared" si="0"/>
        <v>42910</v>
      </c>
      <c r="B25" s="15">
        <v>38900328</v>
      </c>
      <c r="C25" s="15">
        <v>420169.49</v>
      </c>
      <c r="D25" s="15">
        <f t="shared" si="1"/>
        <v>35856938.51</v>
      </c>
      <c r="E25" s="15">
        <v>2623220</v>
      </c>
      <c r="F25" s="16">
        <f>11956/7</f>
        <v>1708</v>
      </c>
      <c r="G25" s="15">
        <v>219</v>
      </c>
    </row>
    <row r="26" spans="1:7" ht="12.75">
      <c r="A26" s="22">
        <f t="shared" si="0"/>
        <v>42917</v>
      </c>
      <c r="B26" s="15">
        <v>39951046</v>
      </c>
      <c r="C26" s="15">
        <v>427498.29</v>
      </c>
      <c r="D26" s="15">
        <f t="shared" si="1"/>
        <v>36928038.71</v>
      </c>
      <c r="E26" s="15">
        <v>2595509</v>
      </c>
      <c r="F26" s="16">
        <v>1708</v>
      </c>
      <c r="G26" s="15">
        <v>217</v>
      </c>
    </row>
    <row r="27" spans="1:7" ht="12.75">
      <c r="A27" s="22">
        <f t="shared" si="0"/>
        <v>42924</v>
      </c>
      <c r="B27" s="15">
        <v>44829227</v>
      </c>
      <c r="C27" s="15">
        <v>497714.09</v>
      </c>
      <c r="D27" s="15">
        <f t="shared" si="1"/>
        <v>41319854.91</v>
      </c>
      <c r="E27" s="15">
        <v>3011658</v>
      </c>
      <c r="F27" s="16">
        <f>11956/7</f>
        <v>1708</v>
      </c>
      <c r="G27" s="15">
        <v>252</v>
      </c>
    </row>
    <row r="28" spans="1:7" ht="12.75">
      <c r="A28" s="22">
        <f t="shared" si="0"/>
        <v>42931</v>
      </c>
      <c r="B28" s="15">
        <v>42092641</v>
      </c>
      <c r="C28" s="15">
        <v>479565.99</v>
      </c>
      <c r="D28" s="15">
        <f t="shared" si="1"/>
        <v>38932484.01</v>
      </c>
      <c r="E28" s="15">
        <v>2680591</v>
      </c>
      <c r="F28" s="16">
        <f>11956/7</f>
        <v>1708</v>
      </c>
      <c r="G28" s="15">
        <v>224</v>
      </c>
    </row>
    <row r="29" spans="1:7" ht="12.75">
      <c r="A29" s="22">
        <f t="shared" si="0"/>
        <v>42938</v>
      </c>
      <c r="B29" s="15">
        <v>38145614</v>
      </c>
      <c r="C29" s="15">
        <f>393478.01-47634</f>
        <v>345844.01</v>
      </c>
      <c r="D29" s="15">
        <f t="shared" si="1"/>
        <v>35225782.99</v>
      </c>
      <c r="E29" s="15">
        <v>2573987</v>
      </c>
      <c r="F29" s="16">
        <f>11956/7</f>
        <v>1708</v>
      </c>
      <c r="G29" s="15">
        <v>215</v>
      </c>
    </row>
    <row r="30" spans="1:7" ht="12.75">
      <c r="A30" s="22">
        <f t="shared" si="0"/>
        <v>42945</v>
      </c>
      <c r="B30" s="15">
        <v>44326878</v>
      </c>
      <c r="C30" s="15">
        <v>424042.67</v>
      </c>
      <c r="D30" s="15">
        <f t="shared" si="1"/>
        <v>40937779.33</v>
      </c>
      <c r="E30" s="15">
        <v>2965056</v>
      </c>
      <c r="F30" s="16">
        <v>1708</v>
      </c>
      <c r="G30" s="15">
        <v>248</v>
      </c>
    </row>
    <row r="31" spans="1:7" ht="12.75">
      <c r="A31" s="22">
        <f t="shared" si="0"/>
        <v>42952</v>
      </c>
      <c r="B31" s="15">
        <v>42360284</v>
      </c>
      <c r="C31" s="15">
        <f>439101.55-55560</f>
        <v>383541.55</v>
      </c>
      <c r="D31" s="15">
        <f t="shared" si="1"/>
        <v>39133046.45</v>
      </c>
      <c r="E31" s="15">
        <v>2843696</v>
      </c>
      <c r="F31" s="16">
        <f>11956/7</f>
        <v>1708</v>
      </c>
      <c r="G31" s="15">
        <v>238</v>
      </c>
    </row>
    <row r="32" spans="1:7" ht="12.75">
      <c r="A32" s="22">
        <f t="shared" si="0"/>
        <v>42959</v>
      </c>
      <c r="B32" s="15">
        <v>46517283</v>
      </c>
      <c r="C32" s="15">
        <v>467097</v>
      </c>
      <c r="D32" s="15">
        <f t="shared" si="1"/>
        <v>42973751</v>
      </c>
      <c r="E32" s="15">
        <v>3076435</v>
      </c>
      <c r="F32" s="16">
        <v>1708</v>
      </c>
      <c r="G32" s="15">
        <v>257</v>
      </c>
    </row>
    <row r="33" spans="1:7" ht="12.75">
      <c r="A33" s="22">
        <f t="shared" si="0"/>
        <v>42966</v>
      </c>
      <c r="B33" s="15">
        <v>45124812</v>
      </c>
      <c r="C33" s="15">
        <v>438720</v>
      </c>
      <c r="D33" s="15">
        <f t="shared" si="1"/>
        <v>41778728</v>
      </c>
      <c r="E33" s="15">
        <v>2907364</v>
      </c>
      <c r="F33" s="16">
        <f aca="true" t="shared" si="3" ref="F33:F38">11956/7</f>
        <v>1708</v>
      </c>
      <c r="G33" s="15">
        <v>243</v>
      </c>
    </row>
    <row r="34" spans="1:7" ht="12.75">
      <c r="A34" s="22">
        <f t="shared" si="0"/>
        <v>42973</v>
      </c>
      <c r="B34" s="15">
        <v>40491265</v>
      </c>
      <c r="C34" s="15">
        <v>402332</v>
      </c>
      <c r="D34" s="15">
        <f t="shared" si="1"/>
        <v>37359434</v>
      </c>
      <c r="E34" s="15">
        <v>2729499</v>
      </c>
      <c r="F34" s="16">
        <f t="shared" si="3"/>
        <v>1708</v>
      </c>
      <c r="G34" s="15">
        <v>228</v>
      </c>
    </row>
    <row r="35" spans="1:7" ht="12.75">
      <c r="A35" s="22">
        <f t="shared" si="0"/>
        <v>42980</v>
      </c>
      <c r="B35" s="15">
        <v>42446077</v>
      </c>
      <c r="C35" s="15">
        <v>409631</v>
      </c>
      <c r="D35" s="15">
        <f t="shared" si="1"/>
        <v>39268913</v>
      </c>
      <c r="E35" s="15">
        <v>2767533</v>
      </c>
      <c r="F35" s="16">
        <f t="shared" si="3"/>
        <v>1708</v>
      </c>
      <c r="G35" s="15">
        <v>231</v>
      </c>
    </row>
    <row r="36" spans="1:7" ht="12.75">
      <c r="A36" s="22">
        <f t="shared" si="0"/>
        <v>42987</v>
      </c>
      <c r="B36" s="15">
        <v>39750581</v>
      </c>
      <c r="C36" s="15">
        <v>342665</v>
      </c>
      <c r="D36" s="15">
        <f t="shared" si="1"/>
        <v>36674320</v>
      </c>
      <c r="E36" s="15">
        <v>2733596</v>
      </c>
      <c r="F36" s="16">
        <f t="shared" si="3"/>
        <v>1708</v>
      </c>
      <c r="G36" s="15">
        <v>229</v>
      </c>
    </row>
    <row r="37" spans="1:7" ht="12.75">
      <c r="A37" s="22">
        <f t="shared" si="0"/>
        <v>42994</v>
      </c>
      <c r="B37" s="15">
        <v>35677136</v>
      </c>
      <c r="C37" s="15">
        <v>358302</v>
      </c>
      <c r="D37" s="15">
        <f t="shared" si="1"/>
        <v>32928212</v>
      </c>
      <c r="E37" s="15">
        <v>2390622</v>
      </c>
      <c r="F37" s="16">
        <f t="shared" si="3"/>
        <v>1708</v>
      </c>
      <c r="G37" s="15">
        <v>200</v>
      </c>
    </row>
    <row r="38" spans="1:7" ht="12.75">
      <c r="A38" s="22">
        <f t="shared" si="0"/>
        <v>43001</v>
      </c>
      <c r="B38" s="15">
        <v>34232597</v>
      </c>
      <c r="C38" s="15">
        <f>310517-54205</f>
        <v>256312</v>
      </c>
      <c r="D38" s="15">
        <f t="shared" si="1"/>
        <v>31618078</v>
      </c>
      <c r="E38" s="15">
        <v>2358207</v>
      </c>
      <c r="F38" s="16">
        <f t="shared" si="3"/>
        <v>1708</v>
      </c>
      <c r="G38" s="15">
        <v>197</v>
      </c>
    </row>
    <row r="39" spans="1:7" ht="12.75">
      <c r="A39" s="22">
        <f t="shared" si="0"/>
        <v>43008</v>
      </c>
      <c r="B39" s="15">
        <v>35458003</v>
      </c>
      <c r="C39" s="15">
        <v>330730</v>
      </c>
      <c r="D39" s="15">
        <f t="shared" si="1"/>
        <v>32808067</v>
      </c>
      <c r="E39" s="15">
        <v>2319206</v>
      </c>
      <c r="F39" s="16">
        <f>11956/7</f>
        <v>1708</v>
      </c>
      <c r="G39" s="15">
        <v>194</v>
      </c>
    </row>
    <row r="40" spans="1:7" ht="12.75">
      <c r="A40" s="22">
        <f t="shared" si="0"/>
        <v>43015</v>
      </c>
      <c r="B40" s="15">
        <v>35499454</v>
      </c>
      <c r="C40" s="15">
        <v>326183</v>
      </c>
      <c r="D40" s="15">
        <f t="shared" si="1"/>
        <v>32723152</v>
      </c>
      <c r="E40" s="15">
        <v>2450119</v>
      </c>
      <c r="F40" s="16">
        <f>11938/7</f>
        <v>1705.4285714285713</v>
      </c>
      <c r="G40" s="15">
        <v>205</v>
      </c>
    </row>
    <row r="41" spans="1:7" ht="12.75">
      <c r="A41" s="22">
        <f t="shared" si="0"/>
        <v>43022</v>
      </c>
      <c r="B41" s="15">
        <v>37436005</v>
      </c>
      <c r="C41" s="15">
        <f>353939-54748</f>
        <v>299191</v>
      </c>
      <c r="D41" s="15">
        <f t="shared" si="1"/>
        <v>34734705</v>
      </c>
      <c r="E41" s="15">
        <v>2402109</v>
      </c>
      <c r="F41" s="16">
        <f aca="true" t="shared" si="4" ref="F41:F46">11942/7</f>
        <v>1706</v>
      </c>
      <c r="G41" s="15">
        <v>201</v>
      </c>
    </row>
    <row r="42" spans="1:7" ht="12.75">
      <c r="A42" s="22">
        <f t="shared" si="0"/>
        <v>43029</v>
      </c>
      <c r="B42" s="15">
        <v>34862198</v>
      </c>
      <c r="C42" s="15">
        <v>327270</v>
      </c>
      <c r="D42" s="15">
        <f t="shared" si="1"/>
        <v>32167332</v>
      </c>
      <c r="E42" s="15">
        <v>2367596</v>
      </c>
      <c r="F42" s="16">
        <f t="shared" si="4"/>
        <v>1706</v>
      </c>
      <c r="G42" s="15">
        <v>198</v>
      </c>
    </row>
    <row r="43" spans="1:7" ht="12.75">
      <c r="A43" s="22">
        <f t="shared" si="0"/>
        <v>43036</v>
      </c>
      <c r="B43" s="15">
        <v>34257500</v>
      </c>
      <c r="C43" s="15">
        <v>320192</v>
      </c>
      <c r="D43" s="15">
        <f t="shared" si="1"/>
        <v>31493436</v>
      </c>
      <c r="E43" s="15">
        <v>2443872</v>
      </c>
      <c r="F43" s="16">
        <f t="shared" si="4"/>
        <v>1706</v>
      </c>
      <c r="G43" s="15">
        <v>205</v>
      </c>
    </row>
    <row r="44" spans="1:7" ht="12.75">
      <c r="A44" s="22">
        <f t="shared" si="0"/>
        <v>43043</v>
      </c>
      <c r="B44" s="15">
        <v>35033235</v>
      </c>
      <c r="C44" s="15">
        <v>377760</v>
      </c>
      <c r="D44" s="15">
        <f t="shared" si="1"/>
        <v>32298714</v>
      </c>
      <c r="E44" s="15">
        <v>2356761</v>
      </c>
      <c r="F44" s="16">
        <f t="shared" si="4"/>
        <v>1706</v>
      </c>
      <c r="G44" s="15">
        <v>197</v>
      </c>
    </row>
    <row r="45" spans="1:7" ht="12.75">
      <c r="A45" s="22">
        <f t="shared" si="0"/>
        <v>43050</v>
      </c>
      <c r="B45" s="15">
        <v>34692332</v>
      </c>
      <c r="C45" s="15">
        <f>356688-41069</f>
        <v>315619</v>
      </c>
      <c r="D45" s="15">
        <f t="shared" si="1"/>
        <v>32016218</v>
      </c>
      <c r="E45" s="15">
        <v>2360495</v>
      </c>
      <c r="F45" s="16">
        <f t="shared" si="4"/>
        <v>1706</v>
      </c>
      <c r="G45" s="15">
        <v>198</v>
      </c>
    </row>
    <row r="46" spans="1:7" ht="12.75">
      <c r="A46" s="22">
        <f t="shared" si="0"/>
        <v>43057</v>
      </c>
      <c r="B46" s="15">
        <v>33675252</v>
      </c>
      <c r="C46" s="15">
        <v>379519</v>
      </c>
      <c r="D46" s="15">
        <f t="shared" si="1"/>
        <v>31118152</v>
      </c>
      <c r="E46" s="15">
        <v>2177581</v>
      </c>
      <c r="F46" s="16">
        <f t="shared" si="4"/>
        <v>1706</v>
      </c>
      <c r="G46" s="15">
        <v>182</v>
      </c>
    </row>
    <row r="47" spans="1:7" ht="12.75">
      <c r="A47" s="22">
        <f t="shared" si="0"/>
        <v>43064</v>
      </c>
      <c r="B47" s="15">
        <v>34597550</v>
      </c>
      <c r="C47" s="15">
        <v>418134</v>
      </c>
      <c r="D47" s="15">
        <f t="shared" si="1"/>
        <v>32107503</v>
      </c>
      <c r="E47" s="15">
        <v>2071913</v>
      </c>
      <c r="F47" s="16">
        <f aca="true" t="shared" si="5" ref="F47:F52">11942/7</f>
        <v>1706</v>
      </c>
      <c r="G47" s="15">
        <v>173</v>
      </c>
    </row>
    <row r="48" spans="1:7" ht="12.75">
      <c r="A48" s="22">
        <f t="shared" si="0"/>
        <v>43071</v>
      </c>
      <c r="B48" s="15">
        <v>34691497</v>
      </c>
      <c r="C48" s="15">
        <v>426079</v>
      </c>
      <c r="D48" s="15">
        <f t="shared" si="1"/>
        <v>32030918</v>
      </c>
      <c r="E48" s="15">
        <v>2234500</v>
      </c>
      <c r="F48" s="16">
        <f t="shared" si="5"/>
        <v>1706</v>
      </c>
      <c r="G48" s="15">
        <v>187</v>
      </c>
    </row>
    <row r="49" spans="1:7" ht="12.75">
      <c r="A49" s="22">
        <f t="shared" si="0"/>
        <v>43078</v>
      </c>
      <c r="B49" s="15">
        <v>31043655</v>
      </c>
      <c r="C49" s="15">
        <f>380073-55185</f>
        <v>324888</v>
      </c>
      <c r="D49" s="15">
        <f t="shared" si="1"/>
        <v>28602594</v>
      </c>
      <c r="E49" s="15">
        <v>2116173</v>
      </c>
      <c r="F49" s="16">
        <f t="shared" si="5"/>
        <v>1706</v>
      </c>
      <c r="G49" s="15">
        <v>177</v>
      </c>
    </row>
    <row r="50" spans="1:7" ht="12.75">
      <c r="A50" s="22">
        <f t="shared" si="0"/>
        <v>43085</v>
      </c>
      <c r="B50" s="15">
        <v>30108087</v>
      </c>
      <c r="C50" s="15">
        <v>388329</v>
      </c>
      <c r="D50" s="15">
        <f t="shared" si="1"/>
        <v>27855025</v>
      </c>
      <c r="E50" s="15">
        <v>1864733</v>
      </c>
      <c r="F50" s="16">
        <f t="shared" si="5"/>
        <v>1706</v>
      </c>
      <c r="G50" s="15">
        <v>156</v>
      </c>
    </row>
    <row r="51" spans="1:7" ht="12.75">
      <c r="A51" s="22">
        <f t="shared" si="0"/>
        <v>43092</v>
      </c>
      <c r="B51" s="15">
        <v>26363568</v>
      </c>
      <c r="C51" s="15">
        <v>344198</v>
      </c>
      <c r="D51" s="15">
        <f t="shared" si="1"/>
        <v>24333661</v>
      </c>
      <c r="E51" s="15">
        <v>1685709</v>
      </c>
      <c r="F51" s="16">
        <f t="shared" si="5"/>
        <v>1706</v>
      </c>
      <c r="G51" s="15">
        <v>141</v>
      </c>
    </row>
    <row r="52" spans="1:7" ht="12.75">
      <c r="A52" s="22">
        <f t="shared" si="0"/>
        <v>43099</v>
      </c>
      <c r="B52" s="15">
        <v>34048835</v>
      </c>
      <c r="C52" s="15">
        <v>402402</v>
      </c>
      <c r="D52" s="15">
        <f t="shared" si="1"/>
        <v>31529001</v>
      </c>
      <c r="E52" s="15">
        <v>2117432</v>
      </c>
      <c r="F52" s="16">
        <f t="shared" si="5"/>
        <v>1706</v>
      </c>
      <c r="G52" s="15">
        <v>177</v>
      </c>
    </row>
    <row r="53" spans="1:7" ht="12.75">
      <c r="A53" s="22">
        <f t="shared" si="0"/>
        <v>43106</v>
      </c>
      <c r="B53" s="15">
        <v>33920749</v>
      </c>
      <c r="C53" s="15">
        <v>377716</v>
      </c>
      <c r="D53" s="15">
        <f t="shared" si="1"/>
        <v>31460523</v>
      </c>
      <c r="E53" s="15">
        <v>2082510</v>
      </c>
      <c r="F53" s="16">
        <f aca="true" t="shared" si="6" ref="F53:F58">11942/7</f>
        <v>1706</v>
      </c>
      <c r="G53" s="15">
        <v>174</v>
      </c>
    </row>
    <row r="54" spans="1:7" ht="12.75">
      <c r="A54" s="22">
        <f t="shared" si="0"/>
        <v>43113</v>
      </c>
      <c r="B54" s="15">
        <v>32950111</v>
      </c>
      <c r="C54" s="15">
        <f>414326-56920</f>
        <v>357406</v>
      </c>
      <c r="D54" s="15">
        <f t="shared" si="1"/>
        <v>30549231</v>
      </c>
      <c r="E54" s="15">
        <v>2043474</v>
      </c>
      <c r="F54" s="16">
        <f t="shared" si="6"/>
        <v>1706</v>
      </c>
      <c r="G54" s="15">
        <v>171</v>
      </c>
    </row>
    <row r="55" spans="1:7" ht="12.75">
      <c r="A55" s="22">
        <f t="shared" si="0"/>
        <v>43120</v>
      </c>
      <c r="B55" s="15">
        <v>35201241</v>
      </c>
      <c r="C55" s="15">
        <v>464277</v>
      </c>
      <c r="D55" s="15">
        <f t="shared" si="1"/>
        <v>32472211</v>
      </c>
      <c r="E55" s="15">
        <v>2264753</v>
      </c>
      <c r="F55" s="16">
        <f t="shared" si="6"/>
        <v>1706</v>
      </c>
      <c r="G55" s="15">
        <v>190</v>
      </c>
    </row>
    <row r="56" spans="1:7" ht="12.75">
      <c r="A56" s="22">
        <f t="shared" si="0"/>
        <v>43127</v>
      </c>
      <c r="B56" s="15">
        <v>36964352</v>
      </c>
      <c r="C56" s="15">
        <v>424986</v>
      </c>
      <c r="D56" s="15">
        <f t="shared" si="1"/>
        <v>34203198</v>
      </c>
      <c r="E56" s="15">
        <v>2336168</v>
      </c>
      <c r="F56" s="16">
        <f t="shared" si="6"/>
        <v>1706</v>
      </c>
      <c r="G56" s="15">
        <v>196</v>
      </c>
    </row>
    <row r="57" spans="1:7" ht="12.75">
      <c r="A57" s="22">
        <f t="shared" si="0"/>
        <v>43134</v>
      </c>
      <c r="B57" s="15">
        <v>35225276</v>
      </c>
      <c r="C57" s="15">
        <v>356883</v>
      </c>
      <c r="D57" s="15">
        <f t="shared" si="1"/>
        <v>32463029</v>
      </c>
      <c r="E57" s="15">
        <v>2405364</v>
      </c>
      <c r="F57" s="16">
        <f t="shared" si="6"/>
        <v>1706</v>
      </c>
      <c r="G57" s="15">
        <v>201</v>
      </c>
    </row>
    <row r="58" spans="1:7" ht="12.75">
      <c r="A58" s="22">
        <f t="shared" si="0"/>
        <v>43141</v>
      </c>
      <c r="B58" s="15">
        <v>28817178</v>
      </c>
      <c r="C58" s="15">
        <f>324592-45869</f>
        <v>278723</v>
      </c>
      <c r="D58" s="15">
        <f t="shared" si="1"/>
        <v>26606146</v>
      </c>
      <c r="E58" s="15">
        <v>1932309</v>
      </c>
      <c r="F58" s="16">
        <f t="shared" si="6"/>
        <v>1706</v>
      </c>
      <c r="G58" s="15">
        <v>162</v>
      </c>
    </row>
    <row r="59" spans="1:7" ht="12.75">
      <c r="A59" s="22">
        <f t="shared" si="0"/>
        <v>43148</v>
      </c>
      <c r="B59" s="15">
        <v>34701918</v>
      </c>
      <c r="C59" s="15">
        <v>374140</v>
      </c>
      <c r="D59" s="15">
        <f t="shared" si="1"/>
        <v>31964107</v>
      </c>
      <c r="E59" s="15">
        <v>2363671</v>
      </c>
      <c r="F59" s="16">
        <f aca="true" t="shared" si="7" ref="F59:F64">11942/7</f>
        <v>1706</v>
      </c>
      <c r="G59" s="15">
        <v>198</v>
      </c>
    </row>
    <row r="60" spans="1:7" ht="12.75">
      <c r="A60" s="22">
        <f t="shared" si="0"/>
        <v>43155</v>
      </c>
      <c r="B60" s="15">
        <v>39919363</v>
      </c>
      <c r="C60" s="15">
        <v>408150</v>
      </c>
      <c r="D60" s="15">
        <f t="shared" si="1"/>
        <v>36690935</v>
      </c>
      <c r="E60" s="15">
        <v>2820278</v>
      </c>
      <c r="F60" s="16">
        <f t="shared" si="7"/>
        <v>1706</v>
      </c>
      <c r="G60" s="15">
        <v>236</v>
      </c>
    </row>
    <row r="61" spans="1:7" ht="12.75">
      <c r="A61" s="22">
        <f t="shared" si="0"/>
        <v>43162</v>
      </c>
      <c r="B61" s="15">
        <v>36134946</v>
      </c>
      <c r="C61" s="15">
        <v>352491</v>
      </c>
      <c r="D61" s="15">
        <f t="shared" si="1"/>
        <v>33318296</v>
      </c>
      <c r="E61" s="15">
        <v>2464159</v>
      </c>
      <c r="F61" s="16">
        <f t="shared" si="7"/>
        <v>1706</v>
      </c>
      <c r="G61" s="15">
        <v>206</v>
      </c>
    </row>
    <row r="62" spans="1:7" ht="12.75">
      <c r="A62" s="22">
        <f t="shared" si="0"/>
        <v>43169</v>
      </c>
      <c r="B62" s="15">
        <v>34692406</v>
      </c>
      <c r="C62" s="15">
        <v>311004</v>
      </c>
      <c r="D62" s="15">
        <f t="shared" si="1"/>
        <v>31915308</v>
      </c>
      <c r="E62" s="15">
        <v>2466094</v>
      </c>
      <c r="F62" s="16">
        <f t="shared" si="7"/>
        <v>1706</v>
      </c>
      <c r="G62" s="15">
        <v>207</v>
      </c>
    </row>
    <row r="63" spans="1:7" ht="12.75">
      <c r="A63" s="22">
        <f t="shared" si="0"/>
        <v>43176</v>
      </c>
      <c r="B63" s="15">
        <v>34977838.43</v>
      </c>
      <c r="C63" s="15">
        <v>356544.51999999996</v>
      </c>
      <c r="D63" s="15">
        <f t="shared" si="1"/>
        <v>32255151.229999997</v>
      </c>
      <c r="E63" s="15">
        <v>2366142.6800000016</v>
      </c>
      <c r="F63" s="16">
        <f t="shared" si="7"/>
        <v>1706</v>
      </c>
      <c r="G63" s="15">
        <v>198.136215039357</v>
      </c>
    </row>
    <row r="64" spans="1:7" ht="12.75">
      <c r="A64" s="22">
        <f t="shared" si="0"/>
        <v>43183</v>
      </c>
      <c r="B64" s="15">
        <v>36941382</v>
      </c>
      <c r="C64" s="15">
        <v>356957</v>
      </c>
      <c r="D64" s="15">
        <f t="shared" si="1"/>
        <v>33945706</v>
      </c>
      <c r="E64" s="15">
        <v>2638719</v>
      </c>
      <c r="F64" s="16">
        <f t="shared" si="7"/>
        <v>1706</v>
      </c>
      <c r="G64" s="15">
        <v>221</v>
      </c>
    </row>
    <row r="65" ht="12.75">
      <c r="A65" s="22"/>
    </row>
    <row r="66" spans="1:7" ht="13.5" thickBot="1">
      <c r="A66" s="3" t="s">
        <v>8</v>
      </c>
      <c r="B66" s="17">
        <f>SUM(B13:B65)</f>
        <v>1961427187.43</v>
      </c>
      <c r="C66" s="17">
        <f>SUM(C13:C65)</f>
        <v>20771960.35</v>
      </c>
      <c r="D66" s="17">
        <f>SUM(D13:D65)</f>
        <v>1810178095.4</v>
      </c>
      <c r="E66" s="17">
        <f>SUM(E13:E65)</f>
        <v>130477131.68</v>
      </c>
      <c r="F66" s="24">
        <f>SUM(F13:F65)/COUNT(F13:F65)</f>
        <v>1706.9725274725274</v>
      </c>
      <c r="G66" s="17">
        <f>+E66/SUM(F13:F65)/7</f>
        <v>209.99380639844983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6" activePane="bottomLeft" state="frozen"/>
      <selection pane="topLeft" activeCell="B61" sqref="B61"/>
      <selection pane="bottomLeft" activeCell="B61" sqref="B61"/>
    </sheetView>
  </sheetViews>
  <sheetFormatPr defaultColWidth="9.140625" defaultRowHeight="12.75"/>
  <cols>
    <col min="1" max="1" width="15.57421875" style="3" customWidth="1"/>
    <col min="2" max="5" width="15.57421875" style="15" customWidth="1"/>
    <col min="6" max="6" width="15.57421875" style="16" customWidth="1"/>
    <col min="7" max="7" width="15.57421875" style="15" customWidth="1"/>
  </cols>
  <sheetData>
    <row r="1" spans="1:9" ht="18">
      <c r="A1" s="37" t="s">
        <v>33</v>
      </c>
      <c r="B1" s="37"/>
      <c r="C1" s="37"/>
      <c r="D1" s="37"/>
      <c r="E1" s="37"/>
      <c r="F1" s="37"/>
      <c r="G1" s="37"/>
      <c r="H1" s="26"/>
      <c r="I1" s="26"/>
    </row>
    <row r="2" spans="1:9" ht="15">
      <c r="A2" s="38" t="s">
        <v>17</v>
      </c>
      <c r="B2" s="38"/>
      <c r="C2" s="38"/>
      <c r="D2" s="38"/>
      <c r="E2" s="38"/>
      <c r="F2" s="38"/>
      <c r="G2" s="38"/>
      <c r="H2" s="27"/>
      <c r="I2" s="27"/>
    </row>
    <row r="3" spans="1:9" s="1" customFormat="1" ht="15">
      <c r="A3" s="38" t="s">
        <v>18</v>
      </c>
      <c r="B3" s="38"/>
      <c r="C3" s="38"/>
      <c r="D3" s="38"/>
      <c r="E3" s="38"/>
      <c r="F3" s="38"/>
      <c r="G3" s="38"/>
      <c r="H3" s="27"/>
      <c r="I3" s="27"/>
    </row>
    <row r="4" spans="1:9" s="1" customFormat="1" ht="15">
      <c r="A4" s="39" t="s">
        <v>34</v>
      </c>
      <c r="B4" s="39"/>
      <c r="C4" s="39"/>
      <c r="D4" s="39"/>
      <c r="E4" s="39"/>
      <c r="F4" s="39"/>
      <c r="G4" s="39"/>
      <c r="H4" s="28"/>
      <c r="I4" s="28"/>
    </row>
    <row r="5" spans="1:9" s="1" customFormat="1" ht="14.25">
      <c r="A5" s="40" t="s">
        <v>20</v>
      </c>
      <c r="B5" s="40"/>
      <c r="C5" s="40"/>
      <c r="D5" s="40"/>
      <c r="E5" s="40"/>
      <c r="F5" s="40"/>
      <c r="G5" s="40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41" t="s">
        <v>32</v>
      </c>
      <c r="B8" s="42"/>
      <c r="C8" s="42"/>
      <c r="D8" s="42"/>
      <c r="E8" s="42"/>
      <c r="F8" s="42"/>
      <c r="G8" s="43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25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48198845</v>
      </c>
      <c r="C13" s="15">
        <v>395249.21</v>
      </c>
      <c r="D13" s="15">
        <f aca="true" t="shared" si="0" ref="D13:D53">+B13-C13-E13</f>
        <v>44326453.79</v>
      </c>
      <c r="E13" s="15">
        <v>3477142</v>
      </c>
      <c r="F13" s="16">
        <v>1694.4285714285713</v>
      </c>
      <c r="G13" s="15">
        <v>293</v>
      </c>
    </row>
    <row r="14" spans="1:7" ht="12.75">
      <c r="A14" s="22">
        <f aca="true" t="shared" si="1" ref="A14:A64">+A13+7</f>
        <v>42469</v>
      </c>
      <c r="B14" s="15">
        <v>44866928</v>
      </c>
      <c r="C14" s="15">
        <f>347877.45-49410</f>
        <v>298467.45</v>
      </c>
      <c r="D14" s="15">
        <f t="shared" si="0"/>
        <v>41424703.55</v>
      </c>
      <c r="E14" s="15">
        <v>3143757</v>
      </c>
      <c r="F14" s="16">
        <v>1718.4285714285713</v>
      </c>
      <c r="G14" s="15">
        <v>261</v>
      </c>
    </row>
    <row r="15" spans="1:7" ht="12.75">
      <c r="A15" s="22">
        <f t="shared" si="1"/>
        <v>42476</v>
      </c>
      <c r="B15" s="15">
        <v>46019008</v>
      </c>
      <c r="C15" s="15">
        <v>381606.38</v>
      </c>
      <c r="D15" s="15">
        <f t="shared" si="0"/>
        <v>42298081.62</v>
      </c>
      <c r="E15" s="15">
        <v>3339320</v>
      </c>
      <c r="F15" s="16">
        <v>1731</v>
      </c>
      <c r="G15" s="15">
        <v>276</v>
      </c>
    </row>
    <row r="16" spans="1:7" ht="12.75">
      <c r="A16" s="22">
        <f t="shared" si="1"/>
        <v>42483</v>
      </c>
      <c r="B16" s="15">
        <v>43271087</v>
      </c>
      <c r="C16" s="15">
        <v>414915.89</v>
      </c>
      <c r="D16" s="15">
        <f t="shared" si="0"/>
        <v>39955074.11</v>
      </c>
      <c r="E16" s="15">
        <v>2901097</v>
      </c>
      <c r="F16" s="16">
        <v>1731</v>
      </c>
      <c r="G16" s="15">
        <v>239</v>
      </c>
    </row>
    <row r="17" spans="1:7" ht="12.75">
      <c r="A17" s="22">
        <f t="shared" si="1"/>
        <v>42490</v>
      </c>
      <c r="B17" s="15">
        <v>47800940</v>
      </c>
      <c r="C17" s="15">
        <v>399338.02</v>
      </c>
      <c r="D17" s="15">
        <f t="shared" si="0"/>
        <v>44252022.98</v>
      </c>
      <c r="E17" s="15">
        <v>3149579</v>
      </c>
      <c r="F17" s="16">
        <v>1731</v>
      </c>
      <c r="G17" s="15">
        <v>260</v>
      </c>
    </row>
    <row r="18" spans="1:7" ht="12.75">
      <c r="A18" s="22">
        <f t="shared" si="1"/>
        <v>42497</v>
      </c>
      <c r="B18" s="15">
        <v>49659537</v>
      </c>
      <c r="C18" s="15">
        <v>381039.36</v>
      </c>
      <c r="D18" s="15">
        <f t="shared" si="0"/>
        <v>45714148.64</v>
      </c>
      <c r="E18" s="15">
        <v>3564349</v>
      </c>
      <c r="F18" s="16">
        <f>12117/7</f>
        <v>1731</v>
      </c>
      <c r="G18" s="15">
        <v>294</v>
      </c>
    </row>
    <row r="19" spans="1:7" ht="12.75">
      <c r="A19" s="22">
        <f t="shared" si="1"/>
        <v>42504</v>
      </c>
      <c r="B19" s="15">
        <v>45546922</v>
      </c>
      <c r="C19" s="15">
        <f>399001.95-48270</f>
        <v>350731.95</v>
      </c>
      <c r="D19" s="15">
        <f t="shared" si="0"/>
        <v>41892346.05</v>
      </c>
      <c r="E19" s="15">
        <v>3303844</v>
      </c>
      <c r="F19" s="16">
        <v>1731</v>
      </c>
      <c r="G19" s="15">
        <v>273</v>
      </c>
    </row>
    <row r="20" spans="1:7" ht="12.75">
      <c r="A20" s="22">
        <f t="shared" si="1"/>
        <v>42511</v>
      </c>
      <c r="B20" s="15">
        <v>45413689</v>
      </c>
      <c r="C20" s="15">
        <v>419639.36</v>
      </c>
      <c r="D20" s="15">
        <f t="shared" si="0"/>
        <v>41937764.64</v>
      </c>
      <c r="E20" s="15">
        <v>3056285</v>
      </c>
      <c r="F20" s="16">
        <v>1731</v>
      </c>
      <c r="G20" s="15">
        <v>252</v>
      </c>
    </row>
    <row r="21" spans="1:7" ht="12.75">
      <c r="A21" s="22">
        <f t="shared" si="1"/>
        <v>42518</v>
      </c>
      <c r="B21" s="15">
        <v>42853318</v>
      </c>
      <c r="C21" s="15">
        <v>400231.12</v>
      </c>
      <c r="D21" s="15">
        <f t="shared" si="0"/>
        <v>39581186.88</v>
      </c>
      <c r="E21" s="15">
        <v>2871900</v>
      </c>
      <c r="F21" s="16">
        <v>1731</v>
      </c>
      <c r="G21" s="15">
        <v>237</v>
      </c>
    </row>
    <row r="22" spans="1:7" ht="12.75">
      <c r="A22" s="22">
        <f t="shared" si="1"/>
        <v>42525</v>
      </c>
      <c r="B22" s="15">
        <v>51218668</v>
      </c>
      <c r="C22" s="15">
        <v>426754.23</v>
      </c>
      <c r="D22" s="15">
        <f t="shared" si="0"/>
        <v>47216552.77</v>
      </c>
      <c r="E22" s="15">
        <v>3575361</v>
      </c>
      <c r="F22" s="16">
        <v>1731</v>
      </c>
      <c r="G22" s="15">
        <v>295</v>
      </c>
    </row>
    <row r="23" spans="1:7" ht="12.75">
      <c r="A23" s="22">
        <f t="shared" si="1"/>
        <v>42532</v>
      </c>
      <c r="B23" s="15">
        <v>47403219</v>
      </c>
      <c r="C23" s="15">
        <f>391937.97-50630</f>
        <v>341307.97</v>
      </c>
      <c r="D23" s="15">
        <f t="shared" si="0"/>
        <v>43646606.03</v>
      </c>
      <c r="E23" s="15">
        <v>3415305</v>
      </c>
      <c r="F23" s="16">
        <v>1621</v>
      </c>
      <c r="G23" s="15">
        <v>301</v>
      </c>
    </row>
    <row r="24" spans="1:7" ht="12.75">
      <c r="A24" s="22">
        <f t="shared" si="1"/>
        <v>42539</v>
      </c>
      <c r="B24" s="15">
        <v>45991236</v>
      </c>
      <c r="C24" s="15">
        <v>436271.73</v>
      </c>
      <c r="D24" s="15">
        <f t="shared" si="0"/>
        <v>42461291.27</v>
      </c>
      <c r="E24" s="15">
        <v>3093673</v>
      </c>
      <c r="F24" s="16">
        <v>1712</v>
      </c>
      <c r="G24" s="15">
        <v>258</v>
      </c>
    </row>
    <row r="25" spans="1:7" ht="12.75">
      <c r="A25" s="22">
        <f t="shared" si="1"/>
        <v>42546</v>
      </c>
      <c r="B25" s="15">
        <v>43800785</v>
      </c>
      <c r="C25" s="15">
        <v>406825.42</v>
      </c>
      <c r="D25" s="15">
        <f t="shared" si="0"/>
        <v>40645827.58</v>
      </c>
      <c r="E25" s="15">
        <v>2748132</v>
      </c>
      <c r="F25" s="16">
        <v>1712</v>
      </c>
      <c r="G25" s="15">
        <v>229</v>
      </c>
    </row>
    <row r="26" spans="1:7" ht="12.75">
      <c r="A26" s="22">
        <f t="shared" si="1"/>
        <v>42553</v>
      </c>
      <c r="B26" s="15">
        <v>46876761</v>
      </c>
      <c r="C26" s="15">
        <v>403356.15</v>
      </c>
      <c r="D26" s="15">
        <f t="shared" si="0"/>
        <v>43190680.85</v>
      </c>
      <c r="E26" s="15">
        <v>3282724</v>
      </c>
      <c r="F26" s="16">
        <v>1712</v>
      </c>
      <c r="G26" s="15">
        <v>274</v>
      </c>
    </row>
    <row r="27" spans="1:7" ht="12.75">
      <c r="A27" s="22">
        <f t="shared" si="1"/>
        <v>42560</v>
      </c>
      <c r="B27" s="15">
        <v>52381999</v>
      </c>
      <c r="C27" s="15">
        <f>400189.07-58729</f>
        <v>341460.07</v>
      </c>
      <c r="D27" s="15">
        <f t="shared" si="0"/>
        <v>48371339.93</v>
      </c>
      <c r="E27" s="15">
        <v>3669199</v>
      </c>
      <c r="F27" s="16">
        <v>1712</v>
      </c>
      <c r="G27" s="15">
        <v>306</v>
      </c>
    </row>
    <row r="28" spans="1:7" ht="12.75">
      <c r="A28" s="22">
        <f t="shared" si="1"/>
        <v>42567</v>
      </c>
      <c r="B28" s="15">
        <v>48382283</v>
      </c>
      <c r="C28" s="15">
        <v>433866.17</v>
      </c>
      <c r="D28" s="15">
        <f t="shared" si="0"/>
        <v>44508361.83</v>
      </c>
      <c r="E28" s="15">
        <v>3440055</v>
      </c>
      <c r="F28" s="16">
        <v>1712</v>
      </c>
      <c r="G28" s="15">
        <v>287</v>
      </c>
    </row>
    <row r="29" spans="1:7" ht="12.75">
      <c r="A29" s="22">
        <f t="shared" si="1"/>
        <v>42574</v>
      </c>
      <c r="B29" s="15">
        <v>49034079</v>
      </c>
      <c r="C29" s="15">
        <v>457263.34</v>
      </c>
      <c r="D29" s="15">
        <f t="shared" si="0"/>
        <v>45251296.66</v>
      </c>
      <c r="E29" s="15">
        <v>3325519</v>
      </c>
      <c r="F29" s="16">
        <v>1712</v>
      </c>
      <c r="G29" s="15">
        <v>277</v>
      </c>
    </row>
    <row r="30" spans="1:7" ht="12.75">
      <c r="A30" s="22">
        <f t="shared" si="1"/>
        <v>42581</v>
      </c>
      <c r="B30" s="15">
        <v>53406378</v>
      </c>
      <c r="C30" s="15">
        <v>468752.25</v>
      </c>
      <c r="D30" s="15">
        <f t="shared" si="0"/>
        <v>49177767.75</v>
      </c>
      <c r="E30" s="15">
        <v>3759858</v>
      </c>
      <c r="F30" s="16">
        <v>1712</v>
      </c>
      <c r="G30" s="15">
        <v>314</v>
      </c>
    </row>
    <row r="31" spans="1:7" ht="12.75">
      <c r="A31" s="22">
        <f t="shared" si="1"/>
        <v>42588</v>
      </c>
      <c r="B31" s="15">
        <v>55678650</v>
      </c>
      <c r="C31" s="15">
        <f>438957.61-71291</f>
        <v>367666.61</v>
      </c>
      <c r="D31" s="15">
        <f t="shared" si="0"/>
        <v>51513664.39</v>
      </c>
      <c r="E31" s="15">
        <v>3797319</v>
      </c>
      <c r="F31" s="16">
        <v>1712</v>
      </c>
      <c r="G31" s="15">
        <v>317</v>
      </c>
    </row>
    <row r="32" spans="1:7" ht="12.75">
      <c r="A32" s="22">
        <f t="shared" si="1"/>
        <v>42595</v>
      </c>
      <c r="B32" s="15">
        <v>55309388</v>
      </c>
      <c r="C32" s="15">
        <v>492149.98</v>
      </c>
      <c r="D32" s="15">
        <f t="shared" si="0"/>
        <v>51107328.02</v>
      </c>
      <c r="E32" s="15">
        <v>3709910</v>
      </c>
      <c r="F32" s="16">
        <v>1712</v>
      </c>
      <c r="G32" s="15">
        <v>310</v>
      </c>
    </row>
    <row r="33" spans="1:7" ht="12.75">
      <c r="A33" s="22">
        <f t="shared" si="1"/>
        <v>42602</v>
      </c>
      <c r="B33" s="15">
        <v>56487381</v>
      </c>
      <c r="C33" s="15">
        <v>460492.26</v>
      </c>
      <c r="D33" s="15">
        <f t="shared" si="0"/>
        <v>52103347.74</v>
      </c>
      <c r="E33" s="15">
        <v>3923541</v>
      </c>
      <c r="F33" s="16">
        <v>1712</v>
      </c>
      <c r="G33" s="15">
        <v>327</v>
      </c>
    </row>
    <row r="34" spans="1:7" ht="12.75">
      <c r="A34" s="22">
        <f t="shared" si="1"/>
        <v>42609</v>
      </c>
      <c r="B34" s="15">
        <v>51053090</v>
      </c>
      <c r="C34" s="15">
        <v>409352.34</v>
      </c>
      <c r="D34" s="15">
        <f t="shared" si="0"/>
        <v>47200219.66</v>
      </c>
      <c r="E34" s="15">
        <v>3443518</v>
      </c>
      <c r="F34" s="16">
        <v>1712</v>
      </c>
      <c r="G34" s="15">
        <v>287</v>
      </c>
    </row>
    <row r="35" spans="1:7" ht="12.75">
      <c r="A35" s="22">
        <f t="shared" si="1"/>
        <v>42616</v>
      </c>
      <c r="B35" s="15">
        <v>54127531</v>
      </c>
      <c r="C35" s="15">
        <v>469515.17</v>
      </c>
      <c r="D35" s="15">
        <f t="shared" si="0"/>
        <v>49919744.83</v>
      </c>
      <c r="E35" s="15">
        <v>3738271</v>
      </c>
      <c r="F35" s="16">
        <f>11984/7</f>
        <v>1712</v>
      </c>
      <c r="G35" s="15">
        <v>312</v>
      </c>
    </row>
    <row r="36" spans="1:7" ht="12.75">
      <c r="A36" s="22">
        <f t="shared" si="1"/>
        <v>42623</v>
      </c>
      <c r="B36" s="15">
        <v>51211387</v>
      </c>
      <c r="C36" s="15">
        <f>416810.37-62760</f>
        <v>354050.37</v>
      </c>
      <c r="D36" s="15">
        <f t="shared" si="0"/>
        <v>47326182.63</v>
      </c>
      <c r="E36" s="15">
        <v>3531154</v>
      </c>
      <c r="F36" s="16">
        <v>1712</v>
      </c>
      <c r="G36" s="15">
        <v>295</v>
      </c>
    </row>
    <row r="37" spans="1:7" ht="12.75">
      <c r="A37" s="22">
        <f t="shared" si="1"/>
        <v>42630</v>
      </c>
      <c r="B37" s="15">
        <v>45861349</v>
      </c>
      <c r="C37" s="15">
        <v>389000.67</v>
      </c>
      <c r="D37" s="15">
        <f t="shared" si="0"/>
        <v>42439223.33</v>
      </c>
      <c r="E37" s="15">
        <v>3033125</v>
      </c>
      <c r="F37" s="16">
        <v>1712</v>
      </c>
      <c r="G37" s="15">
        <v>253</v>
      </c>
    </row>
    <row r="38" spans="1:7" ht="12.75">
      <c r="A38" s="22">
        <f t="shared" si="1"/>
        <v>42637</v>
      </c>
      <c r="B38" s="15">
        <v>47069645</v>
      </c>
      <c r="C38" s="15">
        <v>419948.86</v>
      </c>
      <c r="D38" s="15">
        <f t="shared" si="0"/>
        <v>43532702.14</v>
      </c>
      <c r="E38" s="15">
        <v>3116994</v>
      </c>
      <c r="F38" s="16">
        <v>1712</v>
      </c>
      <c r="G38" s="15">
        <v>260</v>
      </c>
    </row>
    <row r="39" spans="1:7" ht="12.75">
      <c r="A39" s="22">
        <f t="shared" si="1"/>
        <v>42644</v>
      </c>
      <c r="B39" s="15">
        <v>47040391</v>
      </c>
      <c r="C39" s="15">
        <v>403155.24</v>
      </c>
      <c r="D39" s="15">
        <f t="shared" si="0"/>
        <v>43410356.76</v>
      </c>
      <c r="E39" s="15">
        <v>3226879</v>
      </c>
      <c r="F39" s="16">
        <v>1712</v>
      </c>
      <c r="G39" s="15">
        <v>269</v>
      </c>
    </row>
    <row r="40" spans="1:7" ht="12.75">
      <c r="A40" s="22">
        <f t="shared" si="1"/>
        <v>42651</v>
      </c>
      <c r="B40" s="15">
        <v>47077240</v>
      </c>
      <c r="C40" s="15">
        <f>397162.36-57240</f>
        <v>339922.36</v>
      </c>
      <c r="D40" s="15">
        <f t="shared" si="0"/>
        <v>43388813.64</v>
      </c>
      <c r="E40" s="15">
        <v>3348504</v>
      </c>
      <c r="F40" s="16">
        <v>1712</v>
      </c>
      <c r="G40" s="15">
        <v>279</v>
      </c>
    </row>
    <row r="41" spans="1:7" ht="12.75">
      <c r="A41" s="22">
        <f t="shared" si="1"/>
        <v>42658</v>
      </c>
      <c r="B41" s="15">
        <v>47676856</v>
      </c>
      <c r="C41" s="15">
        <v>446079.77</v>
      </c>
      <c r="D41" s="15">
        <f t="shared" si="0"/>
        <v>44034322.23</v>
      </c>
      <c r="E41" s="15">
        <v>3196454</v>
      </c>
      <c r="F41" s="16">
        <v>1712</v>
      </c>
      <c r="G41" s="15">
        <v>267</v>
      </c>
    </row>
    <row r="42" spans="1:7" ht="12.75">
      <c r="A42" s="22">
        <f t="shared" si="1"/>
        <v>42665</v>
      </c>
      <c r="B42" s="15">
        <v>44913295</v>
      </c>
      <c r="C42" s="15">
        <v>419510.93</v>
      </c>
      <c r="D42" s="15">
        <f t="shared" si="0"/>
        <v>41501868.07</v>
      </c>
      <c r="E42" s="15">
        <v>2991916</v>
      </c>
      <c r="F42" s="16">
        <v>1712</v>
      </c>
      <c r="G42" s="15">
        <v>250</v>
      </c>
    </row>
    <row r="43" spans="1:7" ht="12.75">
      <c r="A43" s="22">
        <f t="shared" si="1"/>
        <v>42672</v>
      </c>
      <c r="B43" s="15">
        <v>43653550</v>
      </c>
      <c r="C43" s="15">
        <v>391748.74</v>
      </c>
      <c r="D43" s="15">
        <f t="shared" si="0"/>
        <v>40287468.26</v>
      </c>
      <c r="E43" s="15">
        <v>2974333</v>
      </c>
      <c r="F43" s="16">
        <v>1712</v>
      </c>
      <c r="G43" s="15">
        <v>248</v>
      </c>
    </row>
    <row r="44" spans="1:7" ht="12.75">
      <c r="A44" s="22">
        <f t="shared" si="1"/>
        <v>42679</v>
      </c>
      <c r="B44" s="15">
        <v>47953567</v>
      </c>
      <c r="C44" s="15">
        <f>399560.73-58920</f>
        <v>340640.73</v>
      </c>
      <c r="D44" s="15">
        <f t="shared" si="0"/>
        <v>44182685.27</v>
      </c>
      <c r="E44" s="15">
        <v>3430241</v>
      </c>
      <c r="F44" s="16">
        <v>1712</v>
      </c>
      <c r="G44" s="15">
        <v>286</v>
      </c>
    </row>
    <row r="45" spans="1:7" ht="12.75">
      <c r="A45" s="22">
        <f t="shared" si="1"/>
        <v>42686</v>
      </c>
      <c r="B45" s="15">
        <v>44612773</v>
      </c>
      <c r="C45" s="15">
        <v>432065.75</v>
      </c>
      <c r="D45" s="15">
        <f t="shared" si="0"/>
        <v>41071735.25</v>
      </c>
      <c r="E45" s="15">
        <v>3108972</v>
      </c>
      <c r="F45" s="16">
        <f aca="true" t="shared" si="2" ref="F45:F50">11984/7</f>
        <v>1712</v>
      </c>
      <c r="G45" s="15">
        <v>259</v>
      </c>
    </row>
    <row r="46" spans="1:7" ht="12.75">
      <c r="A46" s="22">
        <f t="shared" si="1"/>
        <v>42693</v>
      </c>
      <c r="B46" s="15">
        <v>45492504</v>
      </c>
      <c r="C46" s="15">
        <v>424580.07</v>
      </c>
      <c r="D46" s="15">
        <f t="shared" si="0"/>
        <v>41984838.93</v>
      </c>
      <c r="E46" s="15">
        <v>3083085</v>
      </c>
      <c r="F46" s="16">
        <f t="shared" si="2"/>
        <v>1712</v>
      </c>
      <c r="G46" s="15">
        <v>257</v>
      </c>
    </row>
    <row r="47" spans="1:7" ht="12.75">
      <c r="A47" s="22">
        <f t="shared" si="1"/>
        <v>42700</v>
      </c>
      <c r="B47" s="15">
        <v>42990421</v>
      </c>
      <c r="C47" s="15">
        <v>365055.5</v>
      </c>
      <c r="D47" s="15">
        <f t="shared" si="0"/>
        <v>39843549.5</v>
      </c>
      <c r="E47" s="15">
        <v>2781816</v>
      </c>
      <c r="F47" s="16">
        <f t="shared" si="2"/>
        <v>1712</v>
      </c>
      <c r="G47" s="15">
        <v>232</v>
      </c>
    </row>
    <row r="48" spans="1:7" ht="12.75">
      <c r="A48" s="22">
        <f t="shared" si="1"/>
        <v>42707</v>
      </c>
      <c r="B48" s="15">
        <v>43339733</v>
      </c>
      <c r="C48" s="15">
        <v>400904.46</v>
      </c>
      <c r="D48" s="15">
        <f t="shared" si="0"/>
        <v>40094954.54</v>
      </c>
      <c r="E48" s="15">
        <v>2843874</v>
      </c>
      <c r="F48" s="16">
        <f t="shared" si="2"/>
        <v>1712</v>
      </c>
      <c r="G48" s="15">
        <v>237</v>
      </c>
    </row>
    <row r="49" spans="1:7" ht="12.75">
      <c r="A49" s="22">
        <f t="shared" si="1"/>
        <v>42714</v>
      </c>
      <c r="B49" s="15">
        <v>41553486</v>
      </c>
      <c r="C49" s="15">
        <v>389368.1</v>
      </c>
      <c r="D49" s="15">
        <f t="shared" si="0"/>
        <v>38340334.9</v>
      </c>
      <c r="E49" s="15">
        <v>2823783</v>
      </c>
      <c r="F49" s="16">
        <f t="shared" si="2"/>
        <v>1712</v>
      </c>
      <c r="G49" s="15">
        <v>236</v>
      </c>
    </row>
    <row r="50" spans="1:7" ht="12.75">
      <c r="A50" s="22">
        <f t="shared" si="1"/>
        <v>42721</v>
      </c>
      <c r="B50" s="15">
        <v>36040622</v>
      </c>
      <c r="C50" s="15">
        <v>299862.32</v>
      </c>
      <c r="D50" s="15">
        <f t="shared" si="0"/>
        <v>33383556.68</v>
      </c>
      <c r="E50" s="15">
        <v>2357203</v>
      </c>
      <c r="F50" s="16">
        <f t="shared" si="2"/>
        <v>1712</v>
      </c>
      <c r="G50" s="15">
        <v>197</v>
      </c>
    </row>
    <row r="51" spans="1:7" ht="12.75">
      <c r="A51" s="22">
        <f t="shared" si="1"/>
        <v>42728</v>
      </c>
      <c r="B51" s="15">
        <v>35854146</v>
      </c>
      <c r="C51" s="15">
        <f>351619.77-64515</f>
        <v>287104.77</v>
      </c>
      <c r="D51" s="15">
        <f t="shared" si="0"/>
        <v>33159617.229999997</v>
      </c>
      <c r="E51" s="15">
        <v>2407424</v>
      </c>
      <c r="F51" s="16">
        <f>11984/7</f>
        <v>1712</v>
      </c>
      <c r="G51" s="15">
        <v>201</v>
      </c>
    </row>
    <row r="52" spans="1:7" ht="12.75">
      <c r="A52" s="22">
        <f t="shared" si="1"/>
        <v>42735</v>
      </c>
      <c r="B52" s="15">
        <v>50645622</v>
      </c>
      <c r="C52" s="15">
        <v>451947.18</v>
      </c>
      <c r="D52" s="15">
        <f t="shared" si="0"/>
        <v>46898354.82</v>
      </c>
      <c r="E52" s="15">
        <v>3295320</v>
      </c>
      <c r="F52" s="16">
        <f>11968/7</f>
        <v>1709.7142857142858</v>
      </c>
      <c r="G52" s="15">
        <v>275</v>
      </c>
    </row>
    <row r="53" spans="1:7" ht="12.75">
      <c r="A53" s="22">
        <f t="shared" si="1"/>
        <v>42742</v>
      </c>
      <c r="B53" s="15">
        <v>51460715</v>
      </c>
      <c r="C53" s="15">
        <v>481350.42</v>
      </c>
      <c r="D53" s="15">
        <f t="shared" si="0"/>
        <v>47516913.58</v>
      </c>
      <c r="E53" s="15">
        <v>3462451</v>
      </c>
      <c r="F53" s="16">
        <f aca="true" t="shared" si="3" ref="F53:F58">11956/7</f>
        <v>1708</v>
      </c>
      <c r="G53" s="15">
        <v>290</v>
      </c>
    </row>
    <row r="54" spans="1:7" ht="12.75">
      <c r="A54" s="22">
        <f t="shared" si="1"/>
        <v>42749</v>
      </c>
      <c r="B54" s="15">
        <v>44037832</v>
      </c>
      <c r="C54" s="15">
        <f>507538.99-60325</f>
        <v>447213.99</v>
      </c>
      <c r="D54" s="15">
        <f aca="true" t="shared" si="4" ref="D54:D64">+B54-C54-E54</f>
        <v>40653044.01</v>
      </c>
      <c r="E54" s="15">
        <v>2937574</v>
      </c>
      <c r="F54" s="16">
        <f t="shared" si="3"/>
        <v>1708</v>
      </c>
      <c r="G54" s="15">
        <v>246</v>
      </c>
    </row>
    <row r="55" spans="1:7" ht="12.75">
      <c r="A55" s="22">
        <f t="shared" si="1"/>
        <v>42756</v>
      </c>
      <c r="B55" s="15">
        <v>46509455</v>
      </c>
      <c r="C55" s="15">
        <v>499210</v>
      </c>
      <c r="D55" s="15">
        <f t="shared" si="4"/>
        <v>42775186</v>
      </c>
      <c r="E55" s="15">
        <v>3235059</v>
      </c>
      <c r="F55" s="16">
        <f t="shared" si="3"/>
        <v>1708</v>
      </c>
      <c r="G55" s="15">
        <v>271</v>
      </c>
    </row>
    <row r="56" spans="1:7" ht="12.75">
      <c r="A56" s="22">
        <f t="shared" si="1"/>
        <v>42763</v>
      </c>
      <c r="B56" s="15">
        <v>42600689</v>
      </c>
      <c r="C56" s="15">
        <v>449909.15</v>
      </c>
      <c r="D56" s="15">
        <f t="shared" si="4"/>
        <v>39332339.85</v>
      </c>
      <c r="E56" s="15">
        <v>2818440</v>
      </c>
      <c r="F56" s="16">
        <f t="shared" si="3"/>
        <v>1708</v>
      </c>
      <c r="G56" s="15">
        <v>236</v>
      </c>
    </row>
    <row r="57" spans="1:7" ht="12.75">
      <c r="A57" s="22">
        <f t="shared" si="1"/>
        <v>42770</v>
      </c>
      <c r="B57" s="15">
        <v>45939970</v>
      </c>
      <c r="C57" s="15">
        <f>454451.69-64790</f>
        <v>389661.69</v>
      </c>
      <c r="D57" s="15">
        <f t="shared" si="4"/>
        <v>42416338.31</v>
      </c>
      <c r="E57" s="15">
        <v>3133970</v>
      </c>
      <c r="F57" s="16">
        <f t="shared" si="3"/>
        <v>1708</v>
      </c>
      <c r="G57" s="15">
        <v>262</v>
      </c>
    </row>
    <row r="58" spans="1:7" ht="12.75">
      <c r="A58" s="22">
        <f t="shared" si="1"/>
        <v>42777</v>
      </c>
      <c r="B58" s="15">
        <v>37884375</v>
      </c>
      <c r="C58" s="15">
        <v>427835.18</v>
      </c>
      <c r="D58" s="15">
        <f t="shared" si="4"/>
        <v>35127595.82</v>
      </c>
      <c r="E58" s="15">
        <v>2328944</v>
      </c>
      <c r="F58" s="16">
        <f t="shared" si="3"/>
        <v>1708</v>
      </c>
      <c r="G58" s="15">
        <v>195</v>
      </c>
    </row>
    <row r="59" spans="1:7" ht="12.75">
      <c r="A59" s="22">
        <f t="shared" si="1"/>
        <v>42784</v>
      </c>
      <c r="B59" s="15">
        <v>38219336</v>
      </c>
      <c r="C59" s="15">
        <v>441735.26</v>
      </c>
      <c r="D59" s="15">
        <f t="shared" si="4"/>
        <v>35335518.74</v>
      </c>
      <c r="E59" s="15">
        <v>2442082</v>
      </c>
      <c r="F59" s="16">
        <f>11956/7</f>
        <v>1708</v>
      </c>
      <c r="G59" s="15">
        <v>204</v>
      </c>
    </row>
    <row r="60" spans="1:7" ht="12.75">
      <c r="A60" s="22">
        <f t="shared" si="1"/>
        <v>42791</v>
      </c>
      <c r="B60" s="15">
        <v>48698146</v>
      </c>
      <c r="C60" s="15">
        <v>558938.27</v>
      </c>
      <c r="D60" s="15">
        <f t="shared" si="4"/>
        <v>44836965.73</v>
      </c>
      <c r="E60" s="15">
        <v>3302242</v>
      </c>
      <c r="F60" s="16">
        <f>11951/7</f>
        <v>1707.2857142857142</v>
      </c>
      <c r="G60" s="15">
        <v>276</v>
      </c>
    </row>
    <row r="61" spans="1:7" ht="12.75">
      <c r="A61" s="22">
        <f t="shared" si="1"/>
        <v>42798</v>
      </c>
      <c r="B61" s="15">
        <v>44603863</v>
      </c>
      <c r="C61" s="15">
        <v>470286.72</v>
      </c>
      <c r="D61" s="15">
        <f t="shared" si="4"/>
        <v>41288165.28</v>
      </c>
      <c r="E61" s="15">
        <v>2845411</v>
      </c>
      <c r="F61" s="16">
        <f>11945/7</f>
        <v>1706.4285714285713</v>
      </c>
      <c r="G61" s="15">
        <v>238</v>
      </c>
    </row>
    <row r="62" spans="1:7" ht="12.75">
      <c r="A62" s="22">
        <f t="shared" si="1"/>
        <v>42805</v>
      </c>
      <c r="B62" s="15">
        <v>42601774</v>
      </c>
      <c r="C62" s="15">
        <v>479351.16</v>
      </c>
      <c r="D62" s="15">
        <f t="shared" si="4"/>
        <v>39370173.84</v>
      </c>
      <c r="E62" s="15">
        <v>2752249</v>
      </c>
      <c r="F62" s="16">
        <f>11942/7</f>
        <v>1706</v>
      </c>
      <c r="G62" s="15">
        <v>230</v>
      </c>
    </row>
    <row r="63" spans="1:7" ht="12.75">
      <c r="A63" s="22">
        <f t="shared" si="1"/>
        <v>42812</v>
      </c>
      <c r="B63" s="15">
        <v>37376864</v>
      </c>
      <c r="C63" s="15">
        <f>458631.87-61669</f>
        <v>396962.87</v>
      </c>
      <c r="D63" s="15">
        <f t="shared" si="4"/>
        <v>34471355.13</v>
      </c>
      <c r="E63" s="15">
        <v>2508546</v>
      </c>
      <c r="F63" s="16">
        <v>1706</v>
      </c>
      <c r="G63" s="15">
        <v>210</v>
      </c>
    </row>
    <row r="64" spans="1:7" ht="12.75">
      <c r="A64" s="22">
        <f t="shared" si="1"/>
        <v>42819</v>
      </c>
      <c r="B64" s="15">
        <v>43072200</v>
      </c>
      <c r="C64" s="15">
        <v>536379.97</v>
      </c>
      <c r="D64" s="15">
        <f t="shared" si="4"/>
        <v>39734728.03</v>
      </c>
      <c r="E64" s="15">
        <v>2801092</v>
      </c>
      <c r="F64" s="16">
        <f>11942/7</f>
        <v>1706</v>
      </c>
      <c r="G64" s="15">
        <v>235</v>
      </c>
    </row>
    <row r="65" ht="12.75">
      <c r="A65" s="22"/>
    </row>
    <row r="66" ht="12.75">
      <c r="A66" s="22"/>
    </row>
    <row r="67" spans="1:7" ht="13.5" thickBot="1">
      <c r="A67" s="3" t="s">
        <v>8</v>
      </c>
      <c r="B67" s="17">
        <f>SUM(B13:B65)</f>
        <v>2410773528</v>
      </c>
      <c r="C67" s="17">
        <f>SUM(C13:C65)</f>
        <v>21490032.929999996</v>
      </c>
      <c r="D67" s="17">
        <f>SUM(D13:D65)</f>
        <v>2225434700.07</v>
      </c>
      <c r="E67" s="17">
        <f>SUM(E13:E65)</f>
        <v>163848795</v>
      </c>
      <c r="F67" s="24">
        <f>SUM(F13:F66)/COUNT(F13:F66)</f>
        <v>1711.8324175824175</v>
      </c>
      <c r="G67" s="17">
        <f>+E67/SUM(F13:F66)/7</f>
        <v>262.95450861569526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saratogacasino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2024-04-30T14:10:47Z</cp:lastPrinted>
  <dcterms:created xsi:type="dcterms:W3CDTF">2007-10-10T21:03:54Z</dcterms:created>
  <dcterms:modified xsi:type="dcterms:W3CDTF">2024-04-30T14:10:56Z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